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17.xml" ContentType="application/vnd.ms-excel.person+xml"/>
  <Override PartName="/xl/persons/person12.xml" ContentType="application/vnd.ms-excel.person+xml"/>
  <Override PartName="/xl/persons/person19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5.xml" ContentType="application/vnd.ms-excel.person+xml"/>
  <Override PartName="/xl/persons/person.xml" ContentType="application/vnd.ms-excel.person+xml"/>
  <Override PartName="/xl/persons/person8.xml" ContentType="application/vnd.ms-excel.person+xml"/>
  <Override PartName="/xl/persons/person18.xml" ContentType="application/vnd.ms-excel.person+xml"/>
  <Override PartName="/xl/persons/person20.xml" ContentType="application/vnd.ms-excel.person+xml"/>
  <Override PartName="/xl/persons/person16.xml" ContentType="application/vnd.ms-excel.person+xml"/>
  <Override PartName="/xl/persons/person1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b9d7c92027400a3/Documents/Bayfield County/2023 DOE ERA/Budget/MATCH Set C/"/>
    </mc:Choice>
  </mc:AlternateContent>
  <xr:revisionPtr revIDLastSave="10" documentId="8_{2BF06CA2-611C-4D41-83FC-D342B8D96F02}" xr6:coauthVersionLast="47" xr6:coauthVersionMax="47" xr10:uidLastSave="{EEAEBE8E-8EF6-4CD1-94C6-D0DBE2E29791}"/>
  <bookViews>
    <workbookView xWindow="-120" yWindow="-120" windowWidth="29040" windowHeight="15720" xr2:uid="{00000000-000D-0000-FFFF-FFFF00000000}"/>
  </bookViews>
  <sheets>
    <sheet name="Summary" sheetId="1" r:id="rId1"/>
    <sheet name="BC + Towns" sheetId="3" r:id="rId2"/>
    <sheet name="RedCliff" sheetId="4" r:id="rId3"/>
    <sheet name="Area 5 Breakdown" sheetId="2" r:id="rId4"/>
  </sheets>
  <calcPr calcId="181029"/>
  <extLst>
    <ext uri="GoogleSheetsCustomDataVersion1">
      <go:sheetsCustomData xmlns:go="http://customooxmlschemas.google.com/" r:id="rId6" roundtripDataSignature="AMtx7mivnbthM+iheDzJygngZw8awcWIOg=="/>
    </ext>
  </extLst>
</workbook>
</file>

<file path=xl/calcChain.xml><?xml version="1.0" encoding="utf-8"?>
<calcChain xmlns="http://schemas.openxmlformats.org/spreadsheetml/2006/main">
  <c r="K27" i="1" l="1"/>
  <c r="K14" i="1"/>
  <c r="Q18" i="1" l="1"/>
  <c r="Q24" i="1"/>
  <c r="Q23" i="1"/>
  <c r="Q24" i="2"/>
  <c r="M21" i="2"/>
  <c r="P12" i="2"/>
  <c r="O11" i="2"/>
  <c r="B7" i="3" l="1"/>
  <c r="D32" i="3"/>
  <c r="D33" i="3" s="1"/>
  <c r="D34" i="3" s="1"/>
  <c r="B36" i="3" s="1"/>
  <c r="E13" i="3" l="1"/>
  <c r="T6" i="1" l="1"/>
  <c r="Q13" i="1"/>
  <c r="P13" i="1"/>
  <c r="L13" i="1"/>
  <c r="O11" i="1"/>
  <c r="O21" i="1"/>
  <c r="O22" i="1"/>
  <c r="Z6" i="1" l="1"/>
  <c r="I43" i="1" l="1"/>
  <c r="H43" i="1"/>
  <c r="I24" i="1"/>
  <c r="I23" i="1"/>
  <c r="I18" i="1"/>
  <c r="I13" i="1"/>
  <c r="H24" i="1"/>
  <c r="H23" i="1"/>
  <c r="H18" i="1"/>
  <c r="H13" i="1"/>
  <c r="G43" i="1"/>
  <c r="G14" i="1"/>
  <c r="E43" i="1"/>
  <c r="E41" i="1"/>
  <c r="F41" i="1" s="1"/>
  <c r="H41" i="1" s="1"/>
  <c r="G41" i="1" l="1"/>
  <c r="T10" i="1" s="1"/>
  <c r="I41" i="1"/>
  <c r="F24" i="1" l="1"/>
  <c r="B29" i="4" s="1"/>
  <c r="C29" i="4" s="1"/>
  <c r="F23" i="1"/>
  <c r="B28" i="4" s="1"/>
  <c r="C28" i="4" s="1"/>
  <c r="F18" i="1"/>
  <c r="E13" i="1"/>
  <c r="F13" i="1" s="1"/>
  <c r="B13" i="4"/>
  <c r="B20" i="3"/>
  <c r="B19" i="4" l="1"/>
  <c r="C19" i="4" s="1"/>
  <c r="B17" i="4"/>
  <c r="C17" i="4" s="1"/>
  <c r="B16" i="4"/>
  <c r="A14" i="1"/>
  <c r="B18" i="3" l="1"/>
  <c r="B14" i="4"/>
  <c r="B15" i="4"/>
  <c r="C15" i="4" s="1"/>
  <c r="C16" i="4"/>
  <c r="B10" i="4"/>
  <c r="D10" i="4" s="1"/>
  <c r="C14" i="4" l="1"/>
  <c r="F25" i="1" l="1"/>
  <c r="I25" i="1" l="1"/>
  <c r="B31" i="4"/>
  <c r="C31" i="4" s="1"/>
  <c r="H25" i="1"/>
  <c r="E21" i="3" l="1"/>
  <c r="E14" i="3"/>
  <c r="G5" i="3" s="1"/>
  <c r="B10" i="3"/>
  <c r="G8" i="3"/>
  <c r="E24" i="3" l="1"/>
  <c r="E23" i="3"/>
  <c r="A9" i="1"/>
  <c r="C35" i="1" l="1"/>
  <c r="C34" i="1"/>
  <c r="C33" i="1"/>
  <c r="C32" i="1"/>
  <c r="C31" i="1"/>
  <c r="C30" i="1"/>
  <c r="C29" i="1"/>
  <c r="E33" i="2"/>
  <c r="D33" i="2"/>
  <c r="G32" i="2"/>
  <c r="H32" i="2" s="1"/>
  <c r="E32" i="2"/>
  <c r="C32" i="2"/>
  <c r="G31" i="2"/>
  <c r="H31" i="2" s="1"/>
  <c r="O30" i="2"/>
  <c r="J30" i="2"/>
  <c r="I30" i="2"/>
  <c r="H30" i="2"/>
  <c r="G30" i="2"/>
  <c r="G29" i="2"/>
  <c r="H29" i="2" s="1"/>
  <c r="G28" i="2"/>
  <c r="H28" i="2" s="1"/>
  <c r="G27" i="2"/>
  <c r="H27" i="2" s="1"/>
  <c r="D26" i="2"/>
  <c r="C26" i="2"/>
  <c r="G25" i="2"/>
  <c r="H25" i="2" s="1"/>
  <c r="E25" i="2"/>
  <c r="C25" i="2"/>
  <c r="H24" i="2"/>
  <c r="J24" i="2" s="1"/>
  <c r="G24" i="2"/>
  <c r="G23" i="2"/>
  <c r="H23" i="2" s="1"/>
  <c r="G22" i="2"/>
  <c r="H22" i="2" s="1"/>
  <c r="G21" i="2"/>
  <c r="H21" i="2" s="1"/>
  <c r="G20" i="2"/>
  <c r="H20" i="2" s="1"/>
  <c r="D19" i="2"/>
  <c r="C19" i="2"/>
  <c r="C18" i="2"/>
  <c r="G17" i="2"/>
  <c r="H17" i="2" s="1"/>
  <c r="E17" i="2"/>
  <c r="C17" i="2"/>
  <c r="G16" i="2"/>
  <c r="H16" i="2" s="1"/>
  <c r="G15" i="2"/>
  <c r="H15" i="2" s="1"/>
  <c r="G14" i="2"/>
  <c r="H14" i="2" s="1"/>
  <c r="G13" i="2"/>
  <c r="H13" i="2" s="1"/>
  <c r="G12" i="2"/>
  <c r="H12" i="2" s="1"/>
  <c r="O33" i="2"/>
  <c r="G11" i="2"/>
  <c r="H11" i="2" s="1"/>
  <c r="G10" i="2"/>
  <c r="H10" i="2" s="1"/>
  <c r="G9" i="2"/>
  <c r="H9" i="2" s="1"/>
  <c r="D8" i="2"/>
  <c r="C8" i="2"/>
  <c r="C33" i="2" s="1"/>
  <c r="G7" i="2"/>
  <c r="H7" i="2" s="1"/>
  <c r="G6" i="2"/>
  <c r="H6" i="2" s="1"/>
  <c r="G5" i="2"/>
  <c r="H5" i="2" s="1"/>
  <c r="G4" i="2"/>
  <c r="H4" i="2" s="1"/>
  <c r="D3" i="2"/>
  <c r="A36" i="1" l="1"/>
  <c r="J4" i="2"/>
  <c r="I4" i="2"/>
  <c r="K4" i="2"/>
  <c r="H33" i="2"/>
  <c r="J5" i="2"/>
  <c r="I5" i="2"/>
  <c r="M5" i="2"/>
  <c r="M17" i="2"/>
  <c r="I17" i="2"/>
  <c r="J17" i="2"/>
  <c r="I7" i="2"/>
  <c r="K7" i="2"/>
  <c r="S7" i="2" s="1"/>
  <c r="T7" i="2" s="1"/>
  <c r="J7" i="2"/>
  <c r="N29" i="2"/>
  <c r="J29" i="2"/>
  <c r="I29" i="2"/>
  <c r="K9" i="2"/>
  <c r="S9" i="2" s="1"/>
  <c r="T9" i="2" s="1"/>
  <c r="J9" i="2"/>
  <c r="I9" i="2"/>
  <c r="I10" i="2"/>
  <c r="M10" i="2"/>
  <c r="J10" i="2"/>
  <c r="J11" i="2"/>
  <c r="I11" i="2"/>
  <c r="L22" i="2"/>
  <c r="I22" i="2"/>
  <c r="J22" i="2"/>
  <c r="L23" i="2"/>
  <c r="J23" i="2"/>
  <c r="I23" i="2"/>
  <c r="P33" i="2"/>
  <c r="M32" i="2"/>
  <c r="J32" i="2"/>
  <c r="I32" i="2"/>
  <c r="R15" i="2"/>
  <c r="R33" i="2" s="1"/>
  <c r="J15" i="2"/>
  <c r="I15" i="2"/>
  <c r="N6" i="2"/>
  <c r="J6" i="2"/>
  <c r="I6" i="2"/>
  <c r="I27" i="2"/>
  <c r="K27" i="2"/>
  <c r="S27" i="2" s="1"/>
  <c r="T27" i="2" s="1"/>
  <c r="J27" i="2"/>
  <c r="M28" i="2"/>
  <c r="J28" i="2"/>
  <c r="I28" i="2"/>
  <c r="J20" i="2"/>
  <c r="I20" i="2"/>
  <c r="N20" i="2"/>
  <c r="J21" i="2"/>
  <c r="I21" i="2"/>
  <c r="I12" i="2"/>
  <c r="J12" i="2"/>
  <c r="P31" i="2"/>
  <c r="J31" i="2"/>
  <c r="I31" i="2"/>
  <c r="J13" i="2"/>
  <c r="N13" i="2"/>
  <c r="I13" i="2"/>
  <c r="Q14" i="2"/>
  <c r="Q33" i="2" s="1"/>
  <c r="J14" i="2"/>
  <c r="I14" i="2"/>
  <c r="K16" i="2"/>
  <c r="S16" i="2" s="1"/>
  <c r="T16" i="2" s="1"/>
  <c r="J16" i="2"/>
  <c r="I16" i="2"/>
  <c r="M25" i="2"/>
  <c r="J25" i="2"/>
  <c r="I25" i="2"/>
  <c r="I24" i="2"/>
  <c r="G33" i="2"/>
  <c r="M33" i="2" l="1"/>
  <c r="K33" i="2"/>
  <c r="S4" i="2"/>
  <c r="I33" i="2"/>
  <c r="L33" i="2"/>
  <c r="N33" i="2"/>
  <c r="J33" i="2"/>
  <c r="T4" i="2" l="1"/>
  <c r="T33" i="2" s="1"/>
  <c r="S33" i="2"/>
  <c r="C20" i="3" l="1"/>
  <c r="C26" i="1"/>
  <c r="B18" i="4" s="1"/>
  <c r="E29" i="1"/>
  <c r="F29" i="1" s="1"/>
  <c r="F21" i="1"/>
  <c r="F17" i="1"/>
  <c r="B19" i="3" s="1"/>
  <c r="F16" i="1"/>
  <c r="B26" i="4" s="1"/>
  <c r="C26" i="4" s="1"/>
  <c r="E12" i="1"/>
  <c r="E11" i="1"/>
  <c r="E8" i="1"/>
  <c r="E7" i="1"/>
  <c r="E4" i="1"/>
  <c r="E3" i="1"/>
  <c r="C19" i="3" l="1"/>
  <c r="F26" i="1"/>
  <c r="Q25" i="1"/>
  <c r="A27" i="1"/>
  <c r="E25" i="3"/>
  <c r="C18" i="3"/>
  <c r="F8" i="1"/>
  <c r="B16" i="3" s="1"/>
  <c r="C16" i="3" s="1"/>
  <c r="F7" i="1"/>
  <c r="F4" i="1"/>
  <c r="F11" i="1"/>
  <c r="F12" i="1"/>
  <c r="F3" i="1"/>
  <c r="B13" i="3" s="1"/>
  <c r="F19" i="1"/>
  <c r="B21" i="3" s="1"/>
  <c r="C21" i="3" s="1"/>
  <c r="I17" i="1"/>
  <c r="H17" i="1"/>
  <c r="I21" i="1"/>
  <c r="H21" i="1"/>
  <c r="I26" i="1"/>
  <c r="H29" i="1"/>
  <c r="I29" i="1"/>
  <c r="H16" i="1"/>
  <c r="I16" i="1"/>
  <c r="G5" i="1" l="1"/>
  <c r="T3" i="1"/>
  <c r="B15" i="3"/>
  <c r="C15" i="3" s="1"/>
  <c r="T4" i="1"/>
  <c r="I11" i="1"/>
  <c r="B25" i="4"/>
  <c r="B14" i="3"/>
  <c r="C14" i="3" s="1"/>
  <c r="H26" i="1"/>
  <c r="B30" i="4"/>
  <c r="C30" i="4" s="1"/>
  <c r="H12" i="1"/>
  <c r="C18" i="4"/>
  <c r="C13" i="3"/>
  <c r="T5" i="1"/>
  <c r="H8" i="1"/>
  <c r="I8" i="1"/>
  <c r="H11" i="1"/>
  <c r="H7" i="1"/>
  <c r="I4" i="1"/>
  <c r="I3" i="1"/>
  <c r="H3" i="1"/>
  <c r="I12" i="1"/>
  <c r="G9" i="1"/>
  <c r="I7" i="1"/>
  <c r="H4" i="1"/>
  <c r="A20" i="1"/>
  <c r="G20" i="1"/>
  <c r="I19" i="1"/>
  <c r="Q19" i="1" s="1"/>
  <c r="H19" i="1"/>
  <c r="B17" i="3" l="1"/>
  <c r="B22" i="3" s="1"/>
  <c r="B23" i="3" s="1"/>
  <c r="E17" i="3"/>
  <c r="C25" i="4"/>
  <c r="G13" i="4"/>
  <c r="C13" i="4"/>
  <c r="C20" i="4" s="1"/>
  <c r="B20" i="4"/>
  <c r="B22" i="4" s="1"/>
  <c r="C22" i="4" s="1"/>
  <c r="Z3" i="1"/>
  <c r="O37" i="1"/>
  <c r="C17" i="3" l="1"/>
  <c r="C22" i="3" s="1"/>
  <c r="B24" i="3"/>
  <c r="C24" i="3" s="1"/>
  <c r="G9" i="3"/>
  <c r="G7" i="3"/>
  <c r="B28" i="3"/>
  <c r="B29" i="3" s="1"/>
  <c r="B30" i="3" s="1"/>
  <c r="E18" i="3"/>
  <c r="E35" i="1"/>
  <c r="F35" i="1" s="1"/>
  <c r="E33" i="1"/>
  <c r="F33" i="1" s="1"/>
  <c r="E31" i="1"/>
  <c r="F31" i="1" s="1"/>
  <c r="E32" i="1"/>
  <c r="F32" i="1" s="1"/>
  <c r="E34" i="1"/>
  <c r="F34" i="1" s="1"/>
  <c r="E30" i="1"/>
  <c r="C37" i="1"/>
  <c r="C46" i="1" s="1"/>
  <c r="F30" i="1" l="1"/>
  <c r="H30" i="1" s="1"/>
  <c r="E37" i="1"/>
  <c r="E46" i="1" s="1"/>
  <c r="I32" i="1"/>
  <c r="H32" i="1"/>
  <c r="I31" i="1"/>
  <c r="H31" i="1"/>
  <c r="I33" i="1"/>
  <c r="H33" i="1"/>
  <c r="H34" i="1"/>
  <c r="I34" i="1"/>
  <c r="F22" i="1"/>
  <c r="H35" i="1"/>
  <c r="I35" i="1"/>
  <c r="B27" i="4" l="1"/>
  <c r="G36" i="1"/>
  <c r="I30" i="1"/>
  <c r="Q36" i="1" s="1"/>
  <c r="Z7" i="1" s="1"/>
  <c r="G27" i="1"/>
  <c r="F37" i="1"/>
  <c r="I22" i="1"/>
  <c r="H22" i="1"/>
  <c r="H38" i="1" s="1"/>
  <c r="F38" i="1"/>
  <c r="P22" i="1"/>
  <c r="P21" i="1"/>
  <c r="I37" i="1" l="1"/>
  <c r="I46" i="1" s="1"/>
  <c r="F46" i="1"/>
  <c r="T12" i="1" s="1"/>
  <c r="C27" i="4"/>
  <c r="C32" i="4" s="1"/>
  <c r="B32" i="4"/>
  <c r="B34" i="4" s="1"/>
  <c r="C34" i="4" s="1"/>
  <c r="J14" i="1"/>
  <c r="G37" i="1"/>
  <c r="G46" i="1" s="1"/>
  <c r="I38" i="1"/>
  <c r="H37" i="1"/>
  <c r="H46" i="1" s="1"/>
  <c r="T8" i="1"/>
  <c r="Q42" i="1"/>
  <c r="Q26" i="1"/>
  <c r="Q22" i="1"/>
  <c r="Q21" i="1"/>
  <c r="Q17" i="1"/>
  <c r="Q16" i="1"/>
  <c r="B43" i="1"/>
  <c r="Q43" i="1" s="1"/>
  <c r="Z10" i="1" s="1"/>
  <c r="B41" i="1"/>
  <c r="B37" i="1"/>
  <c r="C49" i="1" l="1"/>
  <c r="Z15" i="1" s="1"/>
  <c r="C48" i="1"/>
  <c r="U6" i="1"/>
  <c r="T16" i="1"/>
  <c r="U3" i="1"/>
  <c r="U5" i="1"/>
  <c r="U4" i="1"/>
  <c r="T11" i="1"/>
  <c r="L4" i="1"/>
  <c r="P4" i="1" s="1"/>
  <c r="Q4" i="1" s="1"/>
  <c r="Z8" i="1"/>
  <c r="Q41" i="1"/>
  <c r="L3" i="1"/>
  <c r="L7" i="1"/>
  <c r="Z5" i="1"/>
  <c r="L11" i="1"/>
  <c r="P11" i="1" s="1"/>
  <c r="Q11" i="1" s="1"/>
  <c r="L12" i="1"/>
  <c r="P12" i="1" s="1"/>
  <c r="Q12" i="1" s="1"/>
  <c r="Z4" i="1"/>
  <c r="L8" i="1"/>
  <c r="P8" i="1" s="1"/>
  <c r="Q8" i="1" s="1"/>
  <c r="P3" i="1" l="1"/>
  <c r="Q3" i="1" s="1"/>
  <c r="M37" i="1"/>
  <c r="U8" i="1"/>
  <c r="P7" i="1"/>
  <c r="L37" i="1"/>
  <c r="Z14" i="1"/>
  <c r="AA6" i="1"/>
  <c r="AA4" i="1"/>
  <c r="AA3" i="1"/>
  <c r="AA5" i="1"/>
  <c r="B46" i="1"/>
  <c r="Q7" i="1" l="1"/>
  <c r="Q38" i="1" s="1"/>
  <c r="P37" i="1"/>
  <c r="Q37" i="1" s="1"/>
  <c r="W3" i="1"/>
  <c r="B48" i="1"/>
  <c r="B49" i="1"/>
  <c r="V6" i="1" l="1"/>
  <c r="W6" i="1"/>
  <c r="V5" i="1"/>
  <c r="W5" i="1"/>
  <c r="V4" i="1"/>
  <c r="W4" i="1"/>
  <c r="V3" i="1"/>
  <c r="V11" i="1" l="1"/>
  <c r="W11" i="1"/>
</calcChain>
</file>

<file path=xl/sharedStrings.xml><?xml version="1.0" encoding="utf-8"?>
<sst xmlns="http://schemas.openxmlformats.org/spreadsheetml/2006/main" count="325" uniqueCount="197">
  <si>
    <t xml:space="preserve">Bayfield County 5 Highway Garage Microgrids (Solar, BESS, EVSE) </t>
  </si>
  <si>
    <t>Bayfield County CNG Fueling Station and 2 Plow Trucks</t>
  </si>
  <si>
    <t>Port Wing - 5 Sites including WWTP (110kW Solar, BESS, EVSE)</t>
  </si>
  <si>
    <t>Red Cliff Health Clinic Microgrid, 300kW Solar, BESS, EVSE</t>
  </si>
  <si>
    <t>Red Cliff Transportation Building, (Solar, BESS, EVSE)</t>
  </si>
  <si>
    <t>Total Tasks</t>
  </si>
  <si>
    <t>Total Project Cost</t>
  </si>
  <si>
    <t>Grant request</t>
  </si>
  <si>
    <t>20% Cost Share</t>
  </si>
  <si>
    <t>Slipstream Technical Support</t>
  </si>
  <si>
    <t>BC</t>
  </si>
  <si>
    <t>Towns</t>
  </si>
  <si>
    <t>PW</t>
  </si>
  <si>
    <t>RC</t>
  </si>
  <si>
    <t>Port Wing</t>
  </si>
  <si>
    <t>Cost Share - Who</t>
  </si>
  <si>
    <t>Direct Pay</t>
  </si>
  <si>
    <t>Net Cost Share</t>
  </si>
  <si>
    <t>Focus on Energy</t>
  </si>
  <si>
    <t xml:space="preserve"> 20% Cost Share Sum</t>
  </si>
  <si>
    <t>Cost Share less Other Funding</t>
  </si>
  <si>
    <t>Total Other Funding</t>
  </si>
  <si>
    <t>Tribal Solar Accelerator</t>
  </si>
  <si>
    <t>Bayfield County CCOR</t>
  </si>
  <si>
    <t>Comments</t>
  </si>
  <si>
    <t>&lt;--Program travel (DC), program administration, and document prep. Tech support incorporated into projects. 
Will cover 20% cost share of overhead = $23,710</t>
  </si>
  <si>
    <t>&lt;--- meetings, evaluation, data analysis, consulting, reporting, providing $5k of cost share - request 20%</t>
  </si>
  <si>
    <t>Connect Communities with Statewide Efforts</t>
  </si>
  <si>
    <t>Public Presentations - 1 per phase per community</t>
  </si>
  <si>
    <t>Community Surveys - 1 per phase per community</t>
  </si>
  <si>
    <t>Educational Programs - 1 per phase per community</t>
  </si>
  <si>
    <t>Offer opportunities for continuous feedback</t>
  </si>
  <si>
    <t>Public Relations (social media + newsletter + print materials)</t>
  </si>
  <si>
    <t>7 Bayfield County Local Units of Government -  Microgrids (Solar, BESS, EVSE)</t>
  </si>
  <si>
    <t>Budget Submitted with Concept Paper</t>
  </si>
  <si>
    <t>OSCE Rural Prosperity - DOE ERA Budget</t>
  </si>
  <si>
    <t>Cost Estimate</t>
  </si>
  <si>
    <t>muGrid</t>
  </si>
  <si>
    <t>State - ORP</t>
  </si>
  <si>
    <t>Slipstream</t>
  </si>
  <si>
    <t>Total</t>
  </si>
  <si>
    <t>Possible WEDC Additional Funding</t>
  </si>
  <si>
    <t>Who Benefits?</t>
  </si>
  <si>
    <t>Task Subtotals</t>
  </si>
  <si>
    <t>80% Grant</t>
  </si>
  <si>
    <t>Direct Benefit Sum Tasks 1-4</t>
  </si>
  <si>
    <t>Indirect Benefit - Task 5 &amp; Overhead $</t>
  </si>
  <si>
    <t>Task 5 + Overhead</t>
  </si>
  <si>
    <t>Direct Benefit %</t>
  </si>
  <si>
    <t>Direct Benefit + T5 + OH</t>
  </si>
  <si>
    <t>subtotal</t>
  </si>
  <si>
    <t>State-ORP</t>
  </si>
  <si>
    <t>Cost Share Entity</t>
  </si>
  <si>
    <t>Benefits Entity</t>
  </si>
  <si>
    <t>Everyone</t>
  </si>
  <si>
    <t>ck</t>
  </si>
  <si>
    <t xml:space="preserve">     check</t>
  </si>
  <si>
    <t>10% Contingency</t>
  </si>
  <si>
    <t>Task Total</t>
  </si>
  <si>
    <t xml:space="preserve">      check math row</t>
  </si>
  <si>
    <t>Renewable Energy Training Funding - Red Cliff</t>
  </si>
  <si>
    <t>Native Sun Grant</t>
  </si>
  <si>
    <t>Section 105(l) Lease</t>
  </si>
  <si>
    <t>Area 1: Bayfield County Microgrids</t>
  </si>
  <si>
    <t>Area 2: Bayfield Towns Microgrids</t>
  </si>
  <si>
    <t>Area 3: Red Cliff Band Microgrids</t>
  </si>
  <si>
    <t>Area 4: Workforce Development</t>
  </si>
  <si>
    <t>Area 5: Community Engagement</t>
  </si>
  <si>
    <t>muGrid Technical Program Management</t>
  </si>
  <si>
    <t>Area 6: Programmatic Support</t>
  </si>
  <si>
    <t>13 Communities</t>
  </si>
  <si>
    <t>Subarea</t>
  </si>
  <si>
    <t>Budget v10</t>
  </si>
  <si>
    <t>ALT</t>
  </si>
  <si>
    <t>subset</t>
  </si>
  <si>
    <t>9 Communities</t>
  </si>
  <si>
    <t>CBR Share $</t>
  </si>
  <si>
    <t>Greenlinks or other</t>
  </si>
  <si>
    <t>muGrid Share $</t>
  </si>
  <si>
    <t>State Share $</t>
  </si>
  <si>
    <t>County Share $</t>
  </si>
  <si>
    <t>Red Cliff Chare $</t>
  </si>
  <si>
    <t>Catering</t>
  </si>
  <si>
    <t>Travel</t>
  </si>
  <si>
    <t>CBR total hours</t>
  </si>
  <si>
    <t>CBR cost share $</t>
  </si>
  <si>
    <t>a</t>
  </si>
  <si>
    <t>CBR connect with State Teams</t>
  </si>
  <si>
    <t>Monthly meetings over 3 years (12 x 3 x 100)</t>
  </si>
  <si>
    <t>muGrid Oversight/input</t>
  </si>
  <si>
    <t>Monthly meetings over 3 years (12 x 3 x 200 x 2 people)</t>
  </si>
  <si>
    <t>State connects with CBR</t>
  </si>
  <si>
    <t>CBR connects with communities, emails, phome calls, office hours</t>
  </si>
  <si>
    <t>2 hour/wk x 200 weeks (4 years)</t>
  </si>
  <si>
    <t>b</t>
  </si>
  <si>
    <t>Public Presentations</t>
  </si>
  <si>
    <t>3 Ribbon cuttings  Bayfield County, Port Wing and Red Cliff- CBR</t>
  </si>
  <si>
    <t>40 hours</t>
  </si>
  <si>
    <t>3 Ribbon cuttings - muGrid</t>
  </si>
  <si>
    <t>2 Ribbon cutting - County</t>
  </si>
  <si>
    <t>1 Ribbon cutting - Red Cliff</t>
  </si>
  <si>
    <t>3 Ribbon cuttings - State</t>
  </si>
  <si>
    <t>3 Ribbon cuttings - Catering</t>
  </si>
  <si>
    <t>3 Ribbon cuttins - Travel</t>
  </si>
  <si>
    <t>16 Presentations at Town/County meetings, 2 each community</t>
  </si>
  <si>
    <t>CBR labor only, no catering (32 x 4hr)</t>
  </si>
  <si>
    <t>c</t>
  </si>
  <si>
    <t>d</t>
  </si>
  <si>
    <t>Kioska and Tours (tours included in public presentations)</t>
  </si>
  <si>
    <t>e</t>
  </si>
  <si>
    <t xml:space="preserve">Educational Programs - </t>
  </si>
  <si>
    <t>State educational program</t>
  </si>
  <si>
    <t>muGrid oversite/input/program development</t>
  </si>
  <si>
    <t>8 school pesentation, 2 at each of 4 school districts</t>
  </si>
  <si>
    <t>8 x 4hrs x 2 events</t>
  </si>
  <si>
    <t>2 public educational presentation</t>
  </si>
  <si>
    <t>20 hours x 2 events</t>
  </si>
  <si>
    <t>2 public educational presentation - catering</t>
  </si>
  <si>
    <t>catering</t>
  </si>
  <si>
    <t>f</t>
  </si>
  <si>
    <t>g</t>
  </si>
  <si>
    <t>Form Community Advisory Boards - Quarterly meetings (4 x 4.5 = 18 meetings)</t>
  </si>
  <si>
    <t>CBR</t>
  </si>
  <si>
    <t>18 x 2hrs</t>
  </si>
  <si>
    <t>18 x 3</t>
  </si>
  <si>
    <t>State</t>
  </si>
  <si>
    <t>County</t>
  </si>
  <si>
    <t>18 x 1</t>
  </si>
  <si>
    <t>Red Cliff</t>
  </si>
  <si>
    <t>h</t>
  </si>
  <si>
    <t>Value from Area 5 tab</t>
  </si>
  <si>
    <t>personnel</t>
  </si>
  <si>
    <t>Equipment</t>
  </si>
  <si>
    <t>Supplies</t>
  </si>
  <si>
    <t>Indirect</t>
  </si>
  <si>
    <t>eGauges</t>
  </si>
  <si>
    <t>Other Direct</t>
  </si>
  <si>
    <t>BC + Towns</t>
  </si>
  <si>
    <t>BC Budget</t>
  </si>
  <si>
    <t>5-Highway</t>
  </si>
  <si>
    <t>CNG</t>
  </si>
  <si>
    <t>This Budget</t>
  </si>
  <si>
    <t xml:space="preserve">   subtotal</t>
  </si>
  <si>
    <t>muGrid PM, RFP, ENG</t>
  </si>
  <si>
    <t>2 County Pickup Trucks</t>
  </si>
  <si>
    <t>County Plow Trucks</t>
  </si>
  <si>
    <t>CNG EPC</t>
  </si>
  <si>
    <t>CNG Design</t>
  </si>
  <si>
    <t>CNG Total</t>
  </si>
  <si>
    <t>Fringe</t>
  </si>
  <si>
    <t>Contractual less pickups, muGrid and eGauges</t>
  </si>
  <si>
    <t>Training includes some travel</t>
  </si>
  <si>
    <t>RE + CNG Training Funding - Bayfield County</t>
  </si>
  <si>
    <t>RE + CNG Training</t>
  </si>
  <si>
    <t>eq+cont</t>
  </si>
  <si>
    <t>cost share</t>
  </si>
  <si>
    <t>Bayfield County + Towns Worksheet for DOE Budget Justification Spreadsheet</t>
  </si>
  <si>
    <t>DOE Budget</t>
  </si>
  <si>
    <t>Contractual</t>
  </si>
  <si>
    <t xml:space="preserve">muGrid </t>
  </si>
  <si>
    <t>ORP</t>
  </si>
  <si>
    <t>&lt;--- ORP providing cost share</t>
  </si>
  <si>
    <t>State of Wisconsin ORP Oversight + Participation</t>
  </si>
  <si>
    <t>Red Cliff Worksheet for DOE Budget Justification Spreadsheet</t>
  </si>
  <si>
    <t xml:space="preserve">Red Cliff  </t>
  </si>
  <si>
    <t>RC Budget</t>
  </si>
  <si>
    <t>Microgrids</t>
  </si>
  <si>
    <t>Form Community Advisory Boards</t>
  </si>
  <si>
    <t>Personelle</t>
  </si>
  <si>
    <t>Legal</t>
  </si>
  <si>
    <t>Contractual including CNG</t>
  </si>
  <si>
    <t>less muGrid contractual</t>
  </si>
  <si>
    <t>No contingency in Workforce</t>
  </si>
  <si>
    <t>ERROR Contingency not included</t>
  </si>
  <si>
    <t>Contingency included</t>
  </si>
  <si>
    <t>Match Set A E17</t>
  </si>
  <si>
    <t>Match Set B E17</t>
  </si>
  <si>
    <t>4 pickup + 2 plow trucks + 15 eGauges</t>
  </si>
  <si>
    <t>2 Town Pickup Trucks</t>
  </si>
  <si>
    <t>Increase</t>
  </si>
  <si>
    <t>Plus error truck</t>
  </si>
  <si>
    <t>Grandview</t>
  </si>
  <si>
    <t>delta</t>
  </si>
  <si>
    <t>Set B Total</t>
  </si>
  <si>
    <t>Set A Total</t>
  </si>
  <si>
    <t>check</t>
  </si>
  <si>
    <t>increase contractural from set A to set B</t>
  </si>
  <si>
    <t>Set A contractural</t>
  </si>
  <si>
    <t>Set B contractural</t>
  </si>
  <si>
    <t>Match Numbers</t>
  </si>
  <si>
    <t>Balance Numbers</t>
  </si>
  <si>
    <t>Auto Balance</t>
  </si>
  <si>
    <t>Slipstream included in muGrid</t>
  </si>
  <si>
    <t>DOE BJW Budget</t>
  </si>
  <si>
    <t>This Budget Sheet</t>
  </si>
  <si>
    <t>Note: In Match Set A, VoMasson truck was in budget but not split out in equipment.  Corrected in Set B</t>
  </si>
  <si>
    <t>Grandview less equip and muGrid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</si>
</sst>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"/>
    <numFmt numFmtId="166" formatCode="&quot;$&quot;#,##0.0_);[Red]\(&quot;$&quot;#,##0.0\)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110">
    <xf numFmtId="0" fontId="0" fillId="0" borderId="0" xfId="0"/>
    <xf numFmtId="0" fontId="12" fillId="0" borderId="0" xfId="0" applyFont="1"/>
    <xf numFmtId="6" fontId="0" fillId="0" borderId="0" xfId="0" applyNumberFormat="1"/>
    <xf numFmtId="0" fontId="25" fillId="0" borderId="0" xfId="0" applyFont="1" applyAlignment="1">
      <alignment wrapText="1"/>
    </xf>
    <xf numFmtId="9" fontId="0" fillId="0" borderId="0" xfId="1" applyFont="1" applyFill="1"/>
    <xf numFmtId="0" fontId="26" fillId="0" borderId="0" xfId="0" applyFont="1" applyAlignment="1">
      <alignment horizontal="center" wrapText="1"/>
    </xf>
    <xf numFmtId="0" fontId="22" fillId="0" borderId="0" xfId="0" applyFont="1"/>
    <xf numFmtId="6" fontId="23" fillId="0" borderId="0" xfId="0" applyNumberFormat="1" applyFont="1"/>
    <xf numFmtId="0" fontId="16" fillId="0" borderId="0" xfId="0" applyFont="1"/>
    <xf numFmtId="0" fontId="17" fillId="0" borderId="0" xfId="0" applyFont="1"/>
    <xf numFmtId="6" fontId="17" fillId="0" borderId="0" xfId="0" applyNumberFormat="1" applyFont="1"/>
    <xf numFmtId="0" fontId="24" fillId="0" borderId="0" xfId="0" applyFont="1"/>
    <xf numFmtId="6" fontId="24" fillId="0" borderId="0" xfId="0" applyNumberFormat="1" applyFont="1"/>
    <xf numFmtId="0" fontId="18" fillId="0" borderId="0" xfId="0" applyFont="1"/>
    <xf numFmtId="6" fontId="12" fillId="0" borderId="0" xfId="0" applyNumberFormat="1" applyFont="1"/>
    <xf numFmtId="6" fontId="10" fillId="0" borderId="0" xfId="0" applyNumberFormat="1" applyFont="1"/>
    <xf numFmtId="0" fontId="20" fillId="0" borderId="0" xfId="0" applyFont="1"/>
    <xf numFmtId="0" fontId="26" fillId="0" borderId="0" xfId="0" applyFont="1" applyAlignment="1">
      <alignment wrapText="1"/>
    </xf>
    <xf numFmtId="0" fontId="26" fillId="0" borderId="0" xfId="0" applyFont="1"/>
    <xf numFmtId="9" fontId="26" fillId="0" borderId="0" xfId="0" applyNumberFormat="1" applyFont="1"/>
    <xf numFmtId="9" fontId="26" fillId="0" borderId="0" xfId="0" applyNumberFormat="1" applyFont="1" applyAlignment="1">
      <alignment wrapText="1"/>
    </xf>
    <xf numFmtId="0" fontId="21" fillId="0" borderId="0" xfId="0" applyFont="1"/>
    <xf numFmtId="0" fontId="14" fillId="0" borderId="0" xfId="0" applyFont="1"/>
    <xf numFmtId="6" fontId="18" fillId="0" borderId="0" xfId="0" applyNumberFormat="1" applyFont="1"/>
    <xf numFmtId="0" fontId="11" fillId="0" borderId="0" xfId="0" applyFont="1"/>
    <xf numFmtId="9" fontId="0" fillId="0" borderId="0" xfId="0" applyNumberFormat="1"/>
    <xf numFmtId="0" fontId="10" fillId="0" borderId="0" xfId="0" applyFont="1"/>
    <xf numFmtId="166" fontId="0" fillId="0" borderId="0" xfId="0" applyNumberFormat="1"/>
    <xf numFmtId="164" fontId="2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23" fillId="0" borderId="0" xfId="0" applyFont="1"/>
    <xf numFmtId="6" fontId="15" fillId="0" borderId="0" xfId="0" applyNumberFormat="1" applyFont="1"/>
    <xf numFmtId="0" fontId="19" fillId="0" borderId="0" xfId="0" applyFont="1"/>
    <xf numFmtId="0" fontId="15" fillId="0" borderId="0" xfId="0" applyFont="1"/>
    <xf numFmtId="0" fontId="9" fillId="0" borderId="0" xfId="0" applyFont="1"/>
    <xf numFmtId="164" fontId="23" fillId="0" borderId="0" xfId="0" applyNumberFormat="1" applyFont="1" applyAlignment="1">
      <alignment wrapText="1"/>
    </xf>
    <xf numFmtId="6" fontId="0" fillId="0" borderId="0" xfId="0" applyNumberFormat="1" applyAlignment="1">
      <alignment wrapText="1"/>
    </xf>
    <xf numFmtId="1" fontId="8" fillId="0" borderId="0" xfId="0" applyNumberFormat="1" applyFont="1"/>
    <xf numFmtId="6" fontId="8" fillId="0" borderId="0" xfId="0" applyNumberFormat="1" applyFont="1"/>
    <xf numFmtId="6" fontId="0" fillId="2" borderId="0" xfId="0" applyNumberFormat="1" applyFill="1"/>
    <xf numFmtId="38" fontId="0" fillId="0" borderId="0" xfId="0" applyNumberFormat="1"/>
    <xf numFmtId="0" fontId="8" fillId="0" borderId="0" xfId="0" applyFont="1"/>
    <xf numFmtId="6" fontId="13" fillId="0" borderId="0" xfId="0" applyNumberFormat="1" applyFont="1"/>
    <xf numFmtId="0" fontId="7" fillId="0" borderId="0" xfId="0" applyFont="1"/>
    <xf numFmtId="6" fontId="7" fillId="0" borderId="0" xfId="0" applyNumberFormat="1" applyFont="1"/>
    <xf numFmtId="0" fontId="7" fillId="0" borderId="1" xfId="0" applyFont="1" applyBorder="1"/>
    <xf numFmtId="0" fontId="7" fillId="0" borderId="2" xfId="0" applyFont="1" applyBorder="1"/>
    <xf numFmtId="0" fontId="12" fillId="0" borderId="2" xfId="0" applyFont="1" applyBorder="1"/>
    <xf numFmtId="6" fontId="7" fillId="0" borderId="2" xfId="0" applyNumberFormat="1" applyFont="1" applyBorder="1"/>
    <xf numFmtId="6" fontId="7" fillId="0" borderId="3" xfId="0" applyNumberFormat="1" applyFont="1" applyBorder="1"/>
    <xf numFmtId="0" fontId="7" fillId="0" borderId="4" xfId="0" applyFont="1" applyBorder="1"/>
    <xf numFmtId="6" fontId="0" fillId="0" borderId="5" xfId="0" applyNumberFormat="1" applyBorder="1"/>
    <xf numFmtId="0" fontId="0" fillId="0" borderId="5" xfId="0" applyBorder="1"/>
    <xf numFmtId="6" fontId="16" fillId="0" borderId="0" xfId="0" applyNumberFormat="1" applyFont="1"/>
    <xf numFmtId="0" fontId="7" fillId="0" borderId="6" xfId="0" applyFont="1" applyBorder="1"/>
    <xf numFmtId="6" fontId="0" fillId="0" borderId="7" xfId="0" applyNumberFormat="1" applyBorder="1"/>
    <xf numFmtId="0" fontId="16" fillId="0" borderId="7" xfId="0" applyFont="1" applyBorder="1"/>
    <xf numFmtId="6" fontId="16" fillId="0" borderId="7" xfId="0" applyNumberFormat="1" applyFont="1" applyBorder="1"/>
    <xf numFmtId="0" fontId="0" fillId="0" borderId="8" xfId="0" applyBorder="1"/>
    <xf numFmtId="0" fontId="7" fillId="0" borderId="3" xfId="0" applyFont="1" applyBorder="1"/>
    <xf numFmtId="6" fontId="18" fillId="0" borderId="7" xfId="0" applyNumberFormat="1" applyFont="1" applyBorder="1"/>
    <xf numFmtId="6" fontId="7" fillId="0" borderId="5" xfId="0" applyNumberFormat="1" applyFont="1" applyBorder="1"/>
    <xf numFmtId="0" fontId="6" fillId="0" borderId="2" xfId="0" applyFont="1" applyBorder="1"/>
    <xf numFmtId="6" fontId="0" fillId="0" borderId="8" xfId="0" applyNumberFormat="1" applyBorder="1"/>
    <xf numFmtId="6" fontId="0" fillId="0" borderId="1" xfId="0" applyNumberFormat="1" applyBorder="1"/>
    <xf numFmtId="0" fontId="0" fillId="0" borderId="2" xfId="0" applyBorder="1"/>
    <xf numFmtId="0" fontId="0" fillId="0" borderId="3" xfId="0" applyBorder="1"/>
    <xf numFmtId="6" fontId="0" fillId="0" borderId="4" xfId="0" applyNumberFormat="1" applyBorder="1"/>
    <xf numFmtId="6" fontId="7" fillId="0" borderId="4" xfId="0" applyNumberFormat="1" applyFont="1" applyBorder="1"/>
    <xf numFmtId="0" fontId="12" fillId="0" borderId="4" xfId="0" applyFont="1" applyBorder="1"/>
    <xf numFmtId="6" fontId="12" fillId="0" borderId="4" xfId="0" applyNumberFormat="1" applyFont="1" applyBorder="1"/>
    <xf numFmtId="6" fontId="18" fillId="0" borderId="6" xfId="0" applyNumberFormat="1" applyFont="1" applyBorder="1"/>
    <xf numFmtId="0" fontId="7" fillId="0" borderId="7" xfId="0" applyFont="1" applyBorder="1"/>
    <xf numFmtId="0" fontId="12" fillId="0" borderId="7" xfId="0" applyFont="1" applyBorder="1"/>
    <xf numFmtId="0" fontId="6" fillId="0" borderId="1" xfId="0" applyFont="1" applyBorder="1"/>
    <xf numFmtId="0" fontId="6" fillId="0" borderId="4" xfId="0" applyFont="1" applyBorder="1"/>
    <xf numFmtId="9" fontId="0" fillId="0" borderId="0" xfId="1" applyFont="1"/>
    <xf numFmtId="6" fontId="5" fillId="0" borderId="0" xfId="0" applyNumberFormat="1" applyFont="1"/>
    <xf numFmtId="8" fontId="0" fillId="0" borderId="0" xfId="0" applyNumberFormat="1"/>
    <xf numFmtId="0" fontId="5" fillId="0" borderId="0" xfId="0" applyFont="1"/>
    <xf numFmtId="0" fontId="5" fillId="0" borderId="4" xfId="0" applyFont="1" applyBorder="1"/>
    <xf numFmtId="0" fontId="5" fillId="0" borderId="1" xfId="0" applyFont="1" applyBorder="1"/>
    <xf numFmtId="0" fontId="4" fillId="0" borderId="0" xfId="0" applyFont="1"/>
    <xf numFmtId="0" fontId="4" fillId="0" borderId="4" xfId="0" applyFont="1" applyBorder="1"/>
    <xf numFmtId="0" fontId="3" fillId="0" borderId="4" xfId="0" applyFont="1" applyBorder="1"/>
    <xf numFmtId="6" fontId="0" fillId="3" borderId="7" xfId="0" applyNumberFormat="1" applyFill="1" applyBorder="1"/>
    <xf numFmtId="6" fontId="18" fillId="3" borderId="7" xfId="0" applyNumberFormat="1" applyFont="1" applyFill="1" applyBorder="1"/>
    <xf numFmtId="0" fontId="3" fillId="0" borderId="0" xfId="0" applyFont="1"/>
    <xf numFmtId="6" fontId="23" fillId="3" borderId="0" xfId="0" applyNumberFormat="1" applyFont="1" applyFill="1"/>
    <xf numFmtId="6" fontId="24" fillId="3" borderId="0" xfId="0" applyNumberFormat="1" applyFont="1" applyFill="1"/>
    <xf numFmtId="0" fontId="2" fillId="0" borderId="0" xfId="0" applyFont="1"/>
    <xf numFmtId="6" fontId="2" fillId="0" borderId="4" xfId="0" applyNumberFormat="1" applyFont="1" applyBorder="1"/>
    <xf numFmtId="0" fontId="2" fillId="0" borderId="1" xfId="0" applyFont="1" applyBorder="1"/>
    <xf numFmtId="6" fontId="0" fillId="0" borderId="2" xfId="0" applyNumberFormat="1" applyBorder="1"/>
    <xf numFmtId="0" fontId="2" fillId="0" borderId="4" xfId="0" applyFont="1" applyBorder="1"/>
    <xf numFmtId="6" fontId="2" fillId="0" borderId="0" xfId="0" applyNumberFormat="1" applyFont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8" fontId="28" fillId="4" borderId="0" xfId="0" applyNumberFormat="1" applyFont="1" applyFill="1"/>
    <xf numFmtId="0" fontId="28" fillId="5" borderId="0" xfId="0" applyFont="1" applyFill="1"/>
    <xf numFmtId="6" fontId="23" fillId="6" borderId="0" xfId="0" applyNumberFormat="1" applyFont="1" applyFill="1"/>
    <xf numFmtId="0" fontId="0" fillId="7" borderId="0" xfId="0" applyFill="1"/>
    <xf numFmtId="6" fontId="12" fillId="7" borderId="0" xfId="0" applyNumberFormat="1" applyFont="1" applyFill="1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6" fontId="0" fillId="3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26" Type="http://schemas.microsoft.com/office/2017/10/relationships/person" Target="persons/person14.xml"/><Relationship Id="rId3" Type="http://schemas.openxmlformats.org/officeDocument/2006/relationships/worksheet" Target="worksheets/sheet3.xml"/><Relationship Id="rId21" Type="http://schemas.microsoft.com/office/2017/10/relationships/person" Target="persons/person9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5" Type="http://schemas.microsoft.com/office/2017/10/relationships/person" Target="persons/person13.xml"/><Relationship Id="rId33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29" Type="http://schemas.microsoft.com/office/2017/10/relationships/person" Target="persons/person17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24" Type="http://schemas.microsoft.com/office/2017/10/relationships/person" Target="persons/person12.xml"/><Relationship Id="rId32" Type="http://schemas.microsoft.com/office/2017/10/relationships/person" Target="persons/person19.xml"/><Relationship Id="rId15" Type="http://schemas.microsoft.com/office/2017/10/relationships/person" Target="persons/person2.xml"/><Relationship Id="rId23" Type="http://schemas.microsoft.com/office/2017/10/relationships/person" Target="persons/person10.xml"/><Relationship Id="rId28" Type="http://schemas.microsoft.com/office/2017/10/relationships/person" Target="persons/person15.xml"/><Relationship Id="rId10" Type="http://schemas.openxmlformats.org/officeDocument/2006/relationships/calcChain" Target="calcChain.xml"/><Relationship Id="rId19" Type="http://schemas.microsoft.com/office/2017/10/relationships/person" Target="persons/person8.xml"/><Relationship Id="rId31" Type="http://schemas.microsoft.com/office/2017/10/relationships/person" Target="persons/person18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30" Type="http://schemas.microsoft.com/office/2017/10/relationships/person" Target="persons/person20.xml"/><Relationship Id="rId27" Type="http://schemas.microsoft.com/office/2017/10/relationships/person" Target="persons/person16.xml"/><Relationship Id="rId22" Type="http://schemas.microsoft.com/office/2017/10/relationships/person" Target="persons/person11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9"/>
  <sheetViews>
    <sheetView tabSelected="1" zoomScaleNormal="100" workbookViewId="0">
      <selection activeCell="K28" sqref="K28"/>
    </sheetView>
  </sheetViews>
  <sheetFormatPr defaultColWidth="14.42578125" defaultRowHeight="15" customHeight="1" x14ac:dyDescent="0.25"/>
  <cols>
    <col min="1" max="1" width="62.7109375" customWidth="1"/>
    <col min="2" max="2" width="16.28515625" hidden="1" customWidth="1"/>
    <col min="3" max="3" width="20.28515625" customWidth="1"/>
    <col min="4" max="4" width="26.28515625" hidden="1" customWidth="1"/>
    <col min="5" max="7" width="13.140625" customWidth="1"/>
    <col min="8" max="8" width="13.7109375" customWidth="1"/>
    <col min="9" max="9" width="17.140625" customWidth="1"/>
    <col min="10" max="10" width="18.42578125" hidden="1" customWidth="1"/>
    <col min="11" max="11" width="18.85546875" customWidth="1"/>
    <col min="12" max="12" width="13.7109375" customWidth="1"/>
    <col min="13" max="14" width="11.42578125" customWidth="1"/>
    <col min="15" max="15" width="13.140625" customWidth="1"/>
    <col min="16" max="16" width="11.42578125" customWidth="1"/>
    <col min="17" max="17" width="12" customWidth="1"/>
    <col min="18" max="18" width="3.42578125" customWidth="1"/>
    <col min="19" max="19" width="16.5703125" customWidth="1"/>
    <col min="20" max="20" width="13.85546875" customWidth="1"/>
    <col min="21" max="21" width="8.28515625" customWidth="1"/>
    <col min="22" max="22" width="15.28515625" customWidth="1"/>
    <col min="23" max="23" width="11.5703125" customWidth="1"/>
    <col min="24" max="24" width="14.5703125" customWidth="1"/>
    <col min="25" max="25" width="18.85546875" customWidth="1"/>
    <col min="26" max="26" width="11.28515625" customWidth="1"/>
    <col min="27" max="27" width="13.7109375" customWidth="1"/>
    <col min="28" max="28" width="12.42578125" customWidth="1"/>
    <col min="29" max="36" width="8.7109375" customWidth="1"/>
  </cols>
  <sheetData>
    <row r="1" spans="1:30" ht="60.75" customHeight="1" x14ac:dyDescent="0.25">
      <c r="A1" s="16" t="s">
        <v>35</v>
      </c>
      <c r="B1" s="17" t="s">
        <v>34</v>
      </c>
      <c r="C1" s="18" t="s">
        <v>36</v>
      </c>
      <c r="D1" s="18" t="s">
        <v>24</v>
      </c>
      <c r="E1" s="17" t="s">
        <v>57</v>
      </c>
      <c r="F1" s="17" t="s">
        <v>58</v>
      </c>
      <c r="G1" s="17" t="s">
        <v>43</v>
      </c>
      <c r="H1" s="17" t="s">
        <v>44</v>
      </c>
      <c r="I1" s="19" t="s">
        <v>8</v>
      </c>
      <c r="J1" s="19" t="s">
        <v>42</v>
      </c>
      <c r="K1" s="5" t="s">
        <v>15</v>
      </c>
      <c r="L1" s="19" t="s">
        <v>16</v>
      </c>
      <c r="M1" s="20" t="s">
        <v>18</v>
      </c>
      <c r="N1" s="20" t="s">
        <v>23</v>
      </c>
      <c r="O1" s="20" t="s">
        <v>22</v>
      </c>
      <c r="P1" s="20" t="s">
        <v>21</v>
      </c>
      <c r="Q1" s="20" t="s">
        <v>17</v>
      </c>
      <c r="R1" s="5"/>
      <c r="S1" s="20" t="s">
        <v>53</v>
      </c>
      <c r="T1" s="5" t="s">
        <v>45</v>
      </c>
      <c r="U1" s="5" t="s">
        <v>48</v>
      </c>
      <c r="V1" s="5" t="s">
        <v>46</v>
      </c>
      <c r="W1" s="5" t="s">
        <v>49</v>
      </c>
      <c r="X1" s="5"/>
      <c r="Y1" s="5" t="s">
        <v>52</v>
      </c>
      <c r="Z1" s="5" t="s">
        <v>19</v>
      </c>
      <c r="AA1" s="3" t="s">
        <v>20</v>
      </c>
      <c r="AB1" s="3" t="s">
        <v>41</v>
      </c>
      <c r="AC1" s="5" t="s">
        <v>61</v>
      </c>
      <c r="AD1" s="5" t="s">
        <v>62</v>
      </c>
    </row>
    <row r="2" spans="1:30" ht="15.75" x14ac:dyDescent="0.25">
      <c r="A2" s="21" t="s">
        <v>63</v>
      </c>
      <c r="S2" s="5"/>
    </row>
    <row r="3" spans="1:30" x14ac:dyDescent="0.25">
      <c r="A3" s="6" t="s">
        <v>0</v>
      </c>
      <c r="B3" s="7">
        <v>1200000</v>
      </c>
      <c r="C3" s="7">
        <v>1179100</v>
      </c>
      <c r="D3" s="7"/>
      <c r="E3" s="7">
        <f>C3*0.1</f>
        <v>117910</v>
      </c>
      <c r="F3" s="89">
        <f>SUM(C3:E3)</f>
        <v>1297010</v>
      </c>
      <c r="G3" s="7"/>
      <c r="H3" s="2">
        <f>F3*0.8</f>
        <v>1037608</v>
      </c>
      <c r="I3" s="2">
        <f>F3*0.2</f>
        <v>259402</v>
      </c>
      <c r="J3" s="2" t="s">
        <v>10</v>
      </c>
      <c r="K3" t="s">
        <v>10</v>
      </c>
      <c r="L3" s="2">
        <f>-I3*0.3</f>
        <v>-77820.599999999991</v>
      </c>
      <c r="M3" s="2">
        <v>-18029</v>
      </c>
      <c r="N3" s="2"/>
      <c r="O3" s="2"/>
      <c r="P3" s="2">
        <f>SUM(L3:O3)</f>
        <v>-95849.599999999991</v>
      </c>
      <c r="Q3" s="2">
        <f>I3+P3</f>
        <v>163552.40000000002</v>
      </c>
      <c r="S3" t="s">
        <v>10</v>
      </c>
      <c r="T3" s="2">
        <f>F3+F4+F16+F17+F19+F18</f>
        <v>5597452</v>
      </c>
      <c r="U3" s="4">
        <f>T3/$T$8</f>
        <v>0.52558747004501327</v>
      </c>
      <c r="V3" s="2">
        <f>$T$10*U3</f>
        <v>825108.99468053039</v>
      </c>
      <c r="W3" s="2">
        <f>T3+($T$10*U3)</f>
        <v>6422560.9946805304</v>
      </c>
      <c r="X3" s="2"/>
      <c r="Y3" s="2" t="s">
        <v>10</v>
      </c>
      <c r="Z3" s="2">
        <f>I3+I4+I16+I17+I19+I18</f>
        <v>1119490.4000000001</v>
      </c>
      <c r="AA3" s="2">
        <f>Z3+L3+L4</f>
        <v>846309.80000000016</v>
      </c>
    </row>
    <row r="4" spans="1:30" x14ac:dyDescent="0.25">
      <c r="A4" s="6" t="s">
        <v>1</v>
      </c>
      <c r="B4" s="7">
        <v>1872975</v>
      </c>
      <c r="C4" s="7">
        <v>2960000</v>
      </c>
      <c r="D4" s="7"/>
      <c r="E4" s="7">
        <f>C4*0.1</f>
        <v>296000</v>
      </c>
      <c r="F4" s="89">
        <f>SUM(C4:E4)</f>
        <v>3256000</v>
      </c>
      <c r="G4" s="7"/>
      <c r="H4" s="2">
        <f>F4*0.8</f>
        <v>2604800</v>
      </c>
      <c r="I4" s="2">
        <f>F4*0.2</f>
        <v>651200</v>
      </c>
      <c r="J4" s="2" t="s">
        <v>10</v>
      </c>
      <c r="K4" t="s">
        <v>10</v>
      </c>
      <c r="L4" s="2">
        <f>-I4*0.3</f>
        <v>-195360</v>
      </c>
      <c r="M4" s="2"/>
      <c r="N4" s="2"/>
      <c r="O4" s="2"/>
      <c r="P4" s="2">
        <f>SUM(L4:O4)</f>
        <v>-195360</v>
      </c>
      <c r="Q4" s="2">
        <f>I4+P4</f>
        <v>455840</v>
      </c>
      <c r="S4" t="s">
        <v>11</v>
      </c>
      <c r="T4" s="2">
        <f>F7</f>
        <v>1535317.3</v>
      </c>
      <c r="U4" s="4">
        <f>T4/$T$8</f>
        <v>0.14416265390455169</v>
      </c>
      <c r="V4" s="2">
        <f>$T$10*U4</f>
        <v>226317.99503035063</v>
      </c>
      <c r="W4" s="2">
        <f>T4+($T$10*U4)</f>
        <v>1761635.2950303508</v>
      </c>
      <c r="X4" s="2"/>
      <c r="Y4" s="2" t="s">
        <v>11</v>
      </c>
      <c r="Z4" s="2">
        <f>I7</f>
        <v>307063.46000000002</v>
      </c>
      <c r="AA4" s="2">
        <f>Z4+L7</f>
        <v>214944.42200000002</v>
      </c>
    </row>
    <row r="5" spans="1:30" ht="15" customHeight="1" x14ac:dyDescent="0.25">
      <c r="E5" s="2"/>
      <c r="F5" s="2"/>
      <c r="G5" s="2">
        <f>SUM(F3:F4)</f>
        <v>4553010</v>
      </c>
      <c r="I5" s="2"/>
      <c r="J5" s="45" t="s">
        <v>132</v>
      </c>
      <c r="P5" s="2"/>
      <c r="Q5" s="2"/>
      <c r="S5" t="s">
        <v>12</v>
      </c>
      <c r="T5" s="2">
        <f>F8</f>
        <v>817542</v>
      </c>
      <c r="U5" s="4">
        <f>T5/$T$8</f>
        <v>7.6765255233191859E-2</v>
      </c>
      <c r="V5" s="2">
        <f>$T$10*U5</f>
        <v>120512.20050285562</v>
      </c>
      <c r="W5" s="2">
        <f>T5+($T$10*U5)</f>
        <v>938054.20050285559</v>
      </c>
      <c r="X5" s="2"/>
      <c r="Y5" s="2" t="s">
        <v>12</v>
      </c>
      <c r="Z5" s="2">
        <f>I8</f>
        <v>163508.40000000002</v>
      </c>
      <c r="AA5" s="2">
        <f>Z5+L8</f>
        <v>114455.88000000002</v>
      </c>
    </row>
    <row r="6" spans="1:30" x14ac:dyDescent="0.25">
      <c r="A6" s="21" t="s">
        <v>64</v>
      </c>
      <c r="I6" s="2"/>
      <c r="J6" s="2"/>
      <c r="P6" s="2"/>
      <c r="Q6" s="2"/>
      <c r="S6" t="s">
        <v>13</v>
      </c>
      <c r="T6" s="2">
        <f>F11+F12+F13+F21+F22+F23+F24+F26+F25</f>
        <v>2699584.9</v>
      </c>
      <c r="U6" s="4">
        <f>T6/$T$8</f>
        <v>0.25348462081724327</v>
      </c>
      <c r="V6" s="2">
        <f>$T$10*U6</f>
        <v>397940.30978626345</v>
      </c>
      <c r="W6" s="2">
        <f>T6+($T$10*U6)</f>
        <v>3097525.2097862633</v>
      </c>
      <c r="X6" s="2"/>
      <c r="Y6" s="2" t="s">
        <v>13</v>
      </c>
      <c r="Z6" s="2">
        <f>I11+I12+I13+I21+I22+I23+I24+I26+I25</f>
        <v>539916.98</v>
      </c>
      <c r="AA6" s="2">
        <f>Z6+P11+P12+P21+P22</f>
        <v>135880.46</v>
      </c>
      <c r="AB6" s="2">
        <v>-50000</v>
      </c>
      <c r="AC6" s="2">
        <v>-50000</v>
      </c>
      <c r="AD6" s="2">
        <v>-50000</v>
      </c>
    </row>
    <row r="7" spans="1:30" x14ac:dyDescent="0.25">
      <c r="A7" s="22" t="s">
        <v>33</v>
      </c>
      <c r="B7" s="7">
        <v>700000</v>
      </c>
      <c r="C7" s="7">
        <v>1395743</v>
      </c>
      <c r="D7" s="7"/>
      <c r="E7" s="7">
        <f t="shared" ref="E7:E8" si="0">C7*0.1</f>
        <v>139574.30000000002</v>
      </c>
      <c r="F7" s="89">
        <f t="shared" ref="F7:F8" si="1">SUM(C7:E7)</f>
        <v>1535317.3</v>
      </c>
      <c r="G7" s="7"/>
      <c r="H7" s="2">
        <f>F7*0.8</f>
        <v>1228253.8400000001</v>
      </c>
      <c r="I7" s="2">
        <f t="shared" ref="I7:I8" si="2">F7*0.2</f>
        <v>307063.46000000002</v>
      </c>
      <c r="J7" s="2" t="s">
        <v>11</v>
      </c>
      <c r="K7" t="s">
        <v>11</v>
      </c>
      <c r="L7" s="2">
        <f>-I7*0.3</f>
        <v>-92119.038</v>
      </c>
      <c r="M7" s="23">
        <v>-10797</v>
      </c>
      <c r="N7" s="23"/>
      <c r="O7" s="23"/>
      <c r="P7" s="2">
        <f>SUM(L7:O7)</f>
        <v>-102916.038</v>
      </c>
      <c r="Q7" s="2">
        <f>I7+P7</f>
        <v>204147.42200000002</v>
      </c>
      <c r="S7" s="8"/>
      <c r="W7" s="2"/>
      <c r="Y7" s="42" t="s">
        <v>122</v>
      </c>
      <c r="Z7" s="2">
        <f>Q36</f>
        <v>70334</v>
      </c>
      <c r="AA7" s="2"/>
    </row>
    <row r="8" spans="1:30" x14ac:dyDescent="0.25">
      <c r="A8" s="6" t="s">
        <v>2</v>
      </c>
      <c r="B8" s="7">
        <v>600000</v>
      </c>
      <c r="C8" s="7">
        <v>743220</v>
      </c>
      <c r="D8" s="7"/>
      <c r="E8" s="7">
        <f t="shared" si="0"/>
        <v>74322</v>
      </c>
      <c r="F8" s="89">
        <f t="shared" si="1"/>
        <v>817542</v>
      </c>
      <c r="G8" s="7"/>
      <c r="H8" s="2">
        <f>F8*0.8</f>
        <v>654033.60000000009</v>
      </c>
      <c r="I8" s="2">
        <f t="shared" si="2"/>
        <v>163508.40000000002</v>
      </c>
      <c r="J8" s="2" t="s">
        <v>14</v>
      </c>
      <c r="K8" t="s">
        <v>14</v>
      </c>
      <c r="L8" s="2">
        <f>-I8*0.3</f>
        <v>-49052.520000000004</v>
      </c>
      <c r="M8" s="2">
        <v>-14025</v>
      </c>
      <c r="N8" s="2"/>
      <c r="O8" s="2"/>
      <c r="P8" s="2">
        <f>SUM(L8:O8)</f>
        <v>-63077.520000000004</v>
      </c>
      <c r="Q8" s="2">
        <f>I8+P8</f>
        <v>100430.88000000002</v>
      </c>
      <c r="S8" s="24" t="s">
        <v>50</v>
      </c>
      <c r="T8" s="2">
        <f>SUM(T3:T6)</f>
        <v>10649896.199999999</v>
      </c>
      <c r="U8" s="25">
        <f>SUM(U3:U6)</f>
        <v>1</v>
      </c>
      <c r="W8" s="2"/>
      <c r="Y8" s="2" t="s">
        <v>37</v>
      </c>
      <c r="Z8" s="2">
        <f>I41</f>
        <v>155842.5</v>
      </c>
    </row>
    <row r="9" spans="1:30" ht="15" customHeight="1" x14ac:dyDescent="0.25">
      <c r="A9" s="2">
        <f>C3+C4+C7+C8</f>
        <v>6278063</v>
      </c>
      <c r="D9" s="2"/>
      <c r="E9" s="2"/>
      <c r="F9" s="2"/>
      <c r="G9" s="2">
        <f>SUM(F7:F8)</f>
        <v>2352859.2999999998</v>
      </c>
      <c r="I9" s="2"/>
      <c r="J9" s="2"/>
      <c r="P9" s="2"/>
      <c r="Q9" s="2"/>
      <c r="S9" s="1"/>
      <c r="W9" s="2"/>
      <c r="Y9" s="2" t="s">
        <v>39</v>
      </c>
      <c r="Z9" s="2"/>
    </row>
    <row r="10" spans="1:30" x14ac:dyDescent="0.25">
      <c r="A10" s="21" t="s">
        <v>65</v>
      </c>
      <c r="I10" s="2"/>
      <c r="J10" s="2"/>
      <c r="P10" s="2"/>
      <c r="Q10" s="2"/>
      <c r="S10" s="24" t="s">
        <v>47</v>
      </c>
      <c r="T10" s="2">
        <f>G36+G41+G43</f>
        <v>1569879.5</v>
      </c>
      <c r="U10" s="4"/>
      <c r="V10" s="2"/>
      <c r="W10" s="2"/>
      <c r="X10" s="2"/>
      <c r="Y10" s="2" t="s">
        <v>51</v>
      </c>
      <c r="Z10" s="2">
        <f>Q43</f>
        <v>87799.400000000009</v>
      </c>
    </row>
    <row r="11" spans="1:30" x14ac:dyDescent="0.25">
      <c r="A11" s="6" t="s">
        <v>3</v>
      </c>
      <c r="B11" s="7">
        <v>1000000</v>
      </c>
      <c r="C11" s="2">
        <v>1116990</v>
      </c>
      <c r="D11" s="7"/>
      <c r="E11" s="7">
        <f t="shared" ref="E11:E13" si="3">C11*0.1</f>
        <v>111699</v>
      </c>
      <c r="F11" s="89">
        <f t="shared" ref="F11:F13" si="4">SUM(C11:E11)</f>
        <v>1228689</v>
      </c>
      <c r="G11" s="7"/>
      <c r="H11" s="2">
        <f>F11*0.8</f>
        <v>982951.20000000007</v>
      </c>
      <c r="I11" s="2">
        <f t="shared" ref="I11:I13" si="5">F11*0.2</f>
        <v>245737.80000000002</v>
      </c>
      <c r="J11" s="2" t="s">
        <v>13</v>
      </c>
      <c r="K11" t="s">
        <v>13</v>
      </c>
      <c r="L11" s="2">
        <f>-I11*0.4</f>
        <v>-98295.12000000001</v>
      </c>
      <c r="M11" s="2"/>
      <c r="N11" s="2"/>
      <c r="O11" s="2">
        <f>-250000-(O12+O21+O22)</f>
        <v>-79168.200000000012</v>
      </c>
      <c r="P11" s="2">
        <f>SUM(L11:O11)</f>
        <v>-177463.32</v>
      </c>
      <c r="Q11" s="2">
        <f>I11+P11</f>
        <v>68274.48000000001</v>
      </c>
      <c r="S11" s="1" t="s">
        <v>40</v>
      </c>
      <c r="T11" s="2">
        <f>SUM(T3:T6)+T10</f>
        <v>12219775.699999999</v>
      </c>
      <c r="U11" s="4"/>
      <c r="V11" s="2">
        <f>SUM(V3:V6)</f>
        <v>1569879.5</v>
      </c>
      <c r="W11" s="2">
        <f>SUM(W3:W10)</f>
        <v>12219775.699999999</v>
      </c>
      <c r="X11" s="2"/>
      <c r="Y11" s="2"/>
      <c r="Z11" s="2"/>
    </row>
    <row r="12" spans="1:30" x14ac:dyDescent="0.25">
      <c r="A12" s="6" t="s">
        <v>4</v>
      </c>
      <c r="B12" s="7">
        <v>500000</v>
      </c>
      <c r="C12" s="7">
        <v>633425</v>
      </c>
      <c r="D12" s="7"/>
      <c r="E12" s="7">
        <f t="shared" si="3"/>
        <v>63342.5</v>
      </c>
      <c r="F12" s="89">
        <f t="shared" si="4"/>
        <v>696767.5</v>
      </c>
      <c r="G12" s="7"/>
      <c r="H12" s="2">
        <f>F12*0.8</f>
        <v>557414</v>
      </c>
      <c r="I12" s="2">
        <f t="shared" si="5"/>
        <v>139353.5</v>
      </c>
      <c r="J12" s="2" t="s">
        <v>13</v>
      </c>
      <c r="K12" t="s">
        <v>13</v>
      </c>
      <c r="L12" s="2">
        <f>-I12*0.4</f>
        <v>-55741.4</v>
      </c>
      <c r="M12" s="2"/>
      <c r="N12" s="2"/>
      <c r="O12" s="2">
        <v>-70000</v>
      </c>
      <c r="P12" s="2">
        <f>SUM(L12:O12)</f>
        <v>-125741.4</v>
      </c>
      <c r="Q12" s="2">
        <f>I12+P12</f>
        <v>13612.100000000006</v>
      </c>
      <c r="S12" s="26" t="s">
        <v>56</v>
      </c>
      <c r="T12" s="2">
        <f>F46</f>
        <v>12219775.699999999</v>
      </c>
      <c r="W12" s="2"/>
    </row>
    <row r="13" spans="1:30" x14ac:dyDescent="0.25">
      <c r="A13" s="83" t="s">
        <v>169</v>
      </c>
      <c r="B13" s="7"/>
      <c r="C13" s="7">
        <v>35324</v>
      </c>
      <c r="D13" s="7"/>
      <c r="E13" s="7">
        <f t="shared" si="3"/>
        <v>3532.4</v>
      </c>
      <c r="F13" s="89">
        <f t="shared" si="4"/>
        <v>38856.400000000001</v>
      </c>
      <c r="G13" s="7"/>
      <c r="H13" s="2">
        <f>F13*0.8</f>
        <v>31085.120000000003</v>
      </c>
      <c r="I13" s="2">
        <f t="shared" si="5"/>
        <v>7771.2800000000007</v>
      </c>
      <c r="J13" s="2" t="s">
        <v>13</v>
      </c>
      <c r="K13" t="s">
        <v>13</v>
      </c>
      <c r="L13" s="2">
        <f>-I13*0.4</f>
        <v>-3108.5120000000006</v>
      </c>
      <c r="M13" s="2"/>
      <c r="N13" s="2"/>
      <c r="O13" s="2"/>
      <c r="P13" s="2">
        <f>SUM(L13:O13)</f>
        <v>-3108.5120000000006</v>
      </c>
      <c r="Q13" s="2">
        <f>I13+P13</f>
        <v>4662.768</v>
      </c>
      <c r="S13" s="26"/>
      <c r="T13" s="2"/>
      <c r="W13" s="2"/>
    </row>
    <row r="14" spans="1:30" ht="15" customHeight="1" x14ac:dyDescent="0.25">
      <c r="A14" s="2">
        <f>SUM(C11:C13)</f>
        <v>1785739</v>
      </c>
      <c r="E14" s="2"/>
      <c r="F14" s="2"/>
      <c r="G14" s="109">
        <f>SUM(F11:F13)</f>
        <v>1964312.9</v>
      </c>
      <c r="I14" s="2"/>
      <c r="J14" s="2">
        <f>(SUM(I11:I12)+SUM(I21:I26))*1.1</f>
        <v>585360.27000000014</v>
      </c>
      <c r="K14" s="2">
        <f>SUM(I11:I13)</f>
        <v>392862.58000000007</v>
      </c>
      <c r="L14" s="27"/>
      <c r="P14" s="2"/>
      <c r="Q14" s="2"/>
      <c r="W14" s="2"/>
      <c r="Y14" s="2" t="s">
        <v>40</v>
      </c>
      <c r="Z14" s="2">
        <f>SUM(Z3:Z11)</f>
        <v>2443955.14</v>
      </c>
    </row>
    <row r="15" spans="1:30" x14ac:dyDescent="0.25">
      <c r="A15" s="21" t="s">
        <v>66</v>
      </c>
      <c r="I15" s="2"/>
      <c r="J15" s="2"/>
      <c r="P15" s="2"/>
      <c r="Q15" s="2"/>
      <c r="T15" s="10"/>
      <c r="U15" s="9"/>
      <c r="V15" s="9"/>
      <c r="W15" s="9"/>
      <c r="X15" s="9"/>
      <c r="Y15" s="15" t="s">
        <v>56</v>
      </c>
      <c r="Z15" s="2">
        <f>C49</f>
        <v>2443955.14</v>
      </c>
    </row>
    <row r="16" spans="1:30" x14ac:dyDescent="0.25">
      <c r="A16" s="83" t="s">
        <v>168</v>
      </c>
      <c r="B16" s="28">
        <v>200000</v>
      </c>
      <c r="C16" s="2">
        <v>600082</v>
      </c>
      <c r="D16" s="28"/>
      <c r="E16" s="7"/>
      <c r="F16" s="89">
        <f t="shared" ref="F16:F26" si="6">SUM(C16:E16)</f>
        <v>600082</v>
      </c>
      <c r="G16" s="28"/>
      <c r="H16" s="2">
        <f t="shared" ref="H16:H26" si="7">F16*0.8</f>
        <v>480065.60000000003</v>
      </c>
      <c r="I16" s="2">
        <f t="shared" ref="I16:I26" si="8">F16*0.2</f>
        <v>120016.40000000001</v>
      </c>
      <c r="J16" s="2" t="s">
        <v>10</v>
      </c>
      <c r="K16" t="s">
        <v>10</v>
      </c>
      <c r="L16" s="2"/>
      <c r="M16" s="2"/>
      <c r="N16" s="2"/>
      <c r="O16" s="2"/>
      <c r="P16" s="2"/>
      <c r="Q16" s="2">
        <f t="shared" ref="Q16:Q26" si="9">I16+P16</f>
        <v>120016.40000000001</v>
      </c>
      <c r="S16" s="44" t="s">
        <v>137</v>
      </c>
      <c r="T16" s="10">
        <f>T8-T6</f>
        <v>7950311.2999999989</v>
      </c>
      <c r="U16" s="9"/>
      <c r="V16" s="10"/>
      <c r="W16" s="10"/>
      <c r="X16" s="10"/>
      <c r="Y16" s="1"/>
      <c r="Z16" s="2"/>
    </row>
    <row r="17" spans="1:26" ht="12.75" customHeight="1" x14ac:dyDescent="0.25">
      <c r="A17" s="83" t="s">
        <v>149</v>
      </c>
      <c r="B17" s="28">
        <v>513000</v>
      </c>
      <c r="C17" s="28">
        <v>122597</v>
      </c>
      <c r="D17" s="28"/>
      <c r="E17" s="7"/>
      <c r="F17" s="89">
        <f t="shared" si="6"/>
        <v>122597</v>
      </c>
      <c r="G17" s="28"/>
      <c r="H17" s="2">
        <f t="shared" si="7"/>
        <v>98077.6</v>
      </c>
      <c r="I17" s="2">
        <f t="shared" si="8"/>
        <v>24519.4</v>
      </c>
      <c r="J17" s="2" t="s">
        <v>10</v>
      </c>
      <c r="K17" t="s">
        <v>10</v>
      </c>
      <c r="L17" s="2"/>
      <c r="M17" s="2"/>
      <c r="N17" s="2"/>
      <c r="O17" s="2"/>
      <c r="P17" s="2"/>
      <c r="Q17" s="2">
        <f t="shared" si="9"/>
        <v>24519.4</v>
      </c>
      <c r="S17" s="9"/>
      <c r="T17" s="1"/>
      <c r="U17" s="1"/>
      <c r="V17" s="14"/>
      <c r="W17" s="1"/>
      <c r="X17" s="1"/>
      <c r="Y17" s="1"/>
      <c r="Z17" s="2"/>
    </row>
    <row r="18" spans="1:26" ht="15" customHeight="1" x14ac:dyDescent="0.25">
      <c r="A18" s="83" t="s">
        <v>134</v>
      </c>
      <c r="B18" s="28"/>
      <c r="C18" s="28">
        <v>151763</v>
      </c>
      <c r="D18" s="28"/>
      <c r="E18" s="7"/>
      <c r="F18" s="89">
        <f t="shared" si="6"/>
        <v>151763</v>
      </c>
      <c r="G18" s="28"/>
      <c r="H18" s="2">
        <f>F18*0.8</f>
        <v>121410.40000000001</v>
      </c>
      <c r="I18" s="2">
        <f t="shared" si="8"/>
        <v>30352.600000000002</v>
      </c>
      <c r="J18" s="2" t="s">
        <v>10</v>
      </c>
      <c r="K18" t="s">
        <v>10</v>
      </c>
      <c r="L18" s="2"/>
      <c r="M18" s="2"/>
      <c r="N18" s="2"/>
      <c r="O18" s="2"/>
      <c r="P18" s="2"/>
      <c r="Q18" s="2">
        <f t="shared" si="9"/>
        <v>30352.600000000002</v>
      </c>
    </row>
    <row r="19" spans="1:26" x14ac:dyDescent="0.25">
      <c r="A19" s="44" t="s">
        <v>152</v>
      </c>
      <c r="B19" s="28"/>
      <c r="C19" s="28">
        <v>170000</v>
      </c>
      <c r="D19" s="28"/>
      <c r="E19" s="7"/>
      <c r="F19" s="89">
        <f t="shared" ref="F19" si="10">SUM(C19:E19)</f>
        <v>170000</v>
      </c>
      <c r="G19" s="28"/>
      <c r="H19" s="2">
        <f t="shared" ref="H19" si="11">F19*0.8</f>
        <v>136000</v>
      </c>
      <c r="I19" s="2">
        <f t="shared" ref="I19" si="12">F19*0.2</f>
        <v>34000</v>
      </c>
      <c r="J19" s="2" t="s">
        <v>10</v>
      </c>
      <c r="K19" t="s">
        <v>10</v>
      </c>
      <c r="L19" s="2"/>
      <c r="M19" s="2"/>
      <c r="N19" s="2"/>
      <c r="O19" s="2"/>
      <c r="P19" s="2"/>
      <c r="Q19" s="2">
        <f t="shared" si="9"/>
        <v>34000</v>
      </c>
      <c r="S19" t="s">
        <v>10</v>
      </c>
    </row>
    <row r="20" spans="1:26" x14ac:dyDescent="0.25">
      <c r="A20" s="43">
        <f>F16+F17+F19</f>
        <v>892679</v>
      </c>
      <c r="B20" s="28"/>
      <c r="C20" s="28"/>
      <c r="D20" s="28"/>
      <c r="E20" s="7"/>
      <c r="F20" s="7"/>
      <c r="G20" s="28">
        <f>SUM(F16:F19)</f>
        <v>1044442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26" ht="15" customHeight="1" x14ac:dyDescent="0.25">
      <c r="A21" s="83" t="s">
        <v>168</v>
      </c>
      <c r="B21" s="28">
        <v>200000</v>
      </c>
      <c r="C21" s="2">
        <v>415630</v>
      </c>
      <c r="D21" s="28"/>
      <c r="E21" s="7"/>
      <c r="F21" s="89">
        <f t="shared" si="6"/>
        <v>415630</v>
      </c>
      <c r="G21" s="28"/>
      <c r="H21" s="2">
        <f t="shared" si="7"/>
        <v>332504</v>
      </c>
      <c r="I21" s="2">
        <f t="shared" si="8"/>
        <v>83126</v>
      </c>
      <c r="J21" s="2" t="s">
        <v>13</v>
      </c>
      <c r="K21" s="9" t="s">
        <v>13</v>
      </c>
      <c r="L21" s="2"/>
      <c r="M21" s="2"/>
      <c r="N21" s="2"/>
      <c r="O21" s="2">
        <f>-I21</f>
        <v>-83126</v>
      </c>
      <c r="P21" s="2">
        <f>SUM(L21:O21)</f>
        <v>-83126</v>
      </c>
      <c r="Q21" s="2">
        <f t="shared" si="9"/>
        <v>0</v>
      </c>
      <c r="R21" s="9"/>
      <c r="S21" t="s">
        <v>13</v>
      </c>
    </row>
    <row r="22" spans="1:26" ht="15" customHeight="1" x14ac:dyDescent="0.25">
      <c r="A22" s="83" t="s">
        <v>149</v>
      </c>
      <c r="B22" s="28">
        <v>513000</v>
      </c>
      <c r="C22" s="28">
        <v>88529</v>
      </c>
      <c r="D22" s="28"/>
      <c r="E22" s="7"/>
      <c r="F22" s="89">
        <f t="shared" si="6"/>
        <v>88529</v>
      </c>
      <c r="G22" s="28"/>
      <c r="H22" s="2">
        <f t="shared" si="7"/>
        <v>70823.199999999997</v>
      </c>
      <c r="I22" s="2">
        <f t="shared" si="8"/>
        <v>17705.8</v>
      </c>
      <c r="J22" s="2" t="s">
        <v>13</v>
      </c>
      <c r="K22" s="9" t="s">
        <v>13</v>
      </c>
      <c r="L22" s="2"/>
      <c r="M22" s="2"/>
      <c r="N22" s="2"/>
      <c r="O22" s="2">
        <f>-I22</f>
        <v>-17705.8</v>
      </c>
      <c r="P22" s="2">
        <f>SUM(L22:O22)</f>
        <v>-17705.8</v>
      </c>
      <c r="Q22" s="2">
        <f t="shared" si="9"/>
        <v>0</v>
      </c>
      <c r="R22" s="9"/>
      <c r="S22" t="s">
        <v>13</v>
      </c>
    </row>
    <row r="23" spans="1:26" ht="15" customHeight="1" x14ac:dyDescent="0.25">
      <c r="A23" s="83" t="s">
        <v>83</v>
      </c>
      <c r="B23" s="28"/>
      <c r="C23" s="28">
        <v>12608</v>
      </c>
      <c r="D23" s="28"/>
      <c r="E23" s="7"/>
      <c r="F23" s="89">
        <f t="shared" si="6"/>
        <v>12608</v>
      </c>
      <c r="G23" s="28"/>
      <c r="H23" s="2">
        <f>F23*0.8</f>
        <v>10086.400000000001</v>
      </c>
      <c r="I23" s="2">
        <f t="shared" si="8"/>
        <v>2521.6000000000004</v>
      </c>
      <c r="J23" s="2" t="s">
        <v>13</v>
      </c>
      <c r="K23" s="88" t="s">
        <v>13</v>
      </c>
      <c r="L23" s="2"/>
      <c r="M23" s="2"/>
      <c r="N23" s="2"/>
      <c r="O23" s="2"/>
      <c r="P23" s="2"/>
      <c r="Q23" s="2">
        <f t="shared" si="9"/>
        <v>2521.6000000000004</v>
      </c>
      <c r="R23" s="9"/>
    </row>
    <row r="24" spans="1:26" ht="15" customHeight="1" x14ac:dyDescent="0.25">
      <c r="A24" s="83" t="s">
        <v>133</v>
      </c>
      <c r="B24" s="28"/>
      <c r="C24" s="28">
        <v>26600</v>
      </c>
      <c r="D24" s="28"/>
      <c r="E24" s="7"/>
      <c r="F24" s="89">
        <f t="shared" si="6"/>
        <v>26600</v>
      </c>
      <c r="G24" s="28"/>
      <c r="H24" s="2">
        <f>F24*0.8</f>
        <v>21280</v>
      </c>
      <c r="I24" s="2">
        <f t="shared" si="8"/>
        <v>5320</v>
      </c>
      <c r="J24" s="2" t="s">
        <v>13</v>
      </c>
      <c r="K24" s="88" t="s">
        <v>13</v>
      </c>
      <c r="L24" s="2"/>
      <c r="M24" s="2"/>
      <c r="N24" s="2"/>
      <c r="O24" s="2"/>
      <c r="P24" s="2"/>
      <c r="Q24" s="2">
        <f t="shared" si="9"/>
        <v>5320</v>
      </c>
      <c r="R24" s="9"/>
    </row>
    <row r="25" spans="1:26" ht="15" customHeight="1" x14ac:dyDescent="0.25">
      <c r="A25" s="83" t="s">
        <v>134</v>
      </c>
      <c r="B25" s="28"/>
      <c r="C25" s="28">
        <v>116905</v>
      </c>
      <c r="D25" s="28"/>
      <c r="E25" s="7"/>
      <c r="F25" s="89">
        <f t="shared" si="6"/>
        <v>116905</v>
      </c>
      <c r="G25" s="28"/>
      <c r="H25" s="2">
        <f t="shared" si="7"/>
        <v>93524</v>
      </c>
      <c r="I25" s="2">
        <f t="shared" si="8"/>
        <v>23381</v>
      </c>
      <c r="J25" s="2" t="s">
        <v>13</v>
      </c>
      <c r="K25" s="26" t="s">
        <v>13</v>
      </c>
      <c r="L25" s="2"/>
      <c r="M25" s="2"/>
      <c r="N25" s="2"/>
      <c r="O25" s="2"/>
      <c r="P25" s="2"/>
      <c r="Q25" s="2">
        <f t="shared" si="9"/>
        <v>23381</v>
      </c>
      <c r="R25" s="9"/>
    </row>
    <row r="26" spans="1:26" ht="15" customHeight="1" x14ac:dyDescent="0.25">
      <c r="A26" s="26" t="s">
        <v>60</v>
      </c>
      <c r="B26" s="28">
        <v>200000</v>
      </c>
      <c r="C26" s="28">
        <f>200000*0.375</f>
        <v>75000</v>
      </c>
      <c r="D26" s="28"/>
      <c r="E26" s="7"/>
      <c r="F26" s="89">
        <f t="shared" si="6"/>
        <v>75000</v>
      </c>
      <c r="G26" s="28"/>
      <c r="H26" s="2">
        <f t="shared" si="7"/>
        <v>60000</v>
      </c>
      <c r="I26" s="2">
        <f t="shared" si="8"/>
        <v>15000</v>
      </c>
      <c r="J26" s="2" t="s">
        <v>13</v>
      </c>
      <c r="K26" s="26" t="s">
        <v>13</v>
      </c>
      <c r="L26" s="2"/>
      <c r="M26" s="2"/>
      <c r="N26" s="2"/>
      <c r="O26" s="2"/>
      <c r="P26" s="2"/>
      <c r="Q26" s="2">
        <f t="shared" si="9"/>
        <v>15000</v>
      </c>
      <c r="R26" s="1"/>
    </row>
    <row r="27" spans="1:26" ht="15" customHeight="1" x14ac:dyDescent="0.25">
      <c r="A27" s="28">
        <f>SUM(C21:C26)</f>
        <v>735272</v>
      </c>
      <c r="B27" s="28"/>
      <c r="C27" s="28"/>
      <c r="D27" s="28"/>
      <c r="E27" s="2"/>
      <c r="F27" s="2"/>
      <c r="G27" s="28">
        <f>SUM(F21:F26)</f>
        <v>735272</v>
      </c>
      <c r="I27" s="2"/>
      <c r="J27" s="2"/>
      <c r="K27" s="29">
        <f>SUM(I21:I26)</f>
        <v>147054.40000000002</v>
      </c>
      <c r="P27" s="2"/>
      <c r="Q27" s="2"/>
    </row>
    <row r="28" spans="1:26" ht="15.75" customHeight="1" x14ac:dyDescent="0.25">
      <c r="A28" s="21" t="s">
        <v>67</v>
      </c>
      <c r="B28" s="28">
        <v>600000</v>
      </c>
      <c r="C28" s="28"/>
      <c r="D28" s="28" t="s">
        <v>70</v>
      </c>
      <c r="E28" s="28"/>
      <c r="F28" s="28"/>
      <c r="G28" s="28"/>
      <c r="H28" s="29"/>
      <c r="I28" s="30"/>
      <c r="J28" s="30"/>
      <c r="L28" s="2"/>
      <c r="M28" s="2"/>
      <c r="N28" s="2"/>
      <c r="O28" s="2"/>
      <c r="P28" s="2"/>
      <c r="R28" s="8"/>
    </row>
    <row r="29" spans="1:26" ht="15.75" customHeight="1" x14ac:dyDescent="0.25">
      <c r="A29" s="31" t="s">
        <v>27</v>
      </c>
      <c r="B29" s="28"/>
      <c r="C29" s="28">
        <f>'Area 5 Breakdown'!D3</f>
        <v>61600</v>
      </c>
      <c r="D29" s="28" t="s">
        <v>130</v>
      </c>
      <c r="E29" s="7">
        <f t="shared" ref="E29:E35" si="13">C29*0.1</f>
        <v>6160</v>
      </c>
      <c r="F29" s="7">
        <f t="shared" ref="F29:F35" si="14">SUM(C29:E29)</f>
        <v>67760</v>
      </c>
      <c r="G29" s="28"/>
      <c r="H29" s="2">
        <f t="shared" ref="H29:H35" si="15">F29*0.8</f>
        <v>54208</v>
      </c>
      <c r="I29" s="2">
        <f t="shared" ref="I29:I35" si="16">F29*0.2</f>
        <v>13552</v>
      </c>
      <c r="J29" s="2"/>
      <c r="K29" s="42" t="s">
        <v>122</v>
      </c>
      <c r="L29" s="2"/>
      <c r="M29" s="2"/>
      <c r="N29" s="2"/>
      <c r="O29" s="2"/>
      <c r="P29" s="2"/>
      <c r="Q29" s="2"/>
      <c r="R29" s="8"/>
    </row>
    <row r="30" spans="1:26" ht="15.75" customHeight="1" x14ac:dyDescent="0.25">
      <c r="A30" s="31" t="s">
        <v>28</v>
      </c>
      <c r="B30" s="28"/>
      <c r="C30" s="28">
        <f>'Area 5 Breakdown'!D8</f>
        <v>80300</v>
      </c>
      <c r="D30" s="28" t="s">
        <v>130</v>
      </c>
      <c r="E30" s="7">
        <f t="shared" si="13"/>
        <v>8030</v>
      </c>
      <c r="F30" s="7">
        <f t="shared" si="14"/>
        <v>88330</v>
      </c>
      <c r="G30" s="28"/>
      <c r="H30" s="2">
        <f t="shared" si="15"/>
        <v>70664</v>
      </c>
      <c r="I30" s="2">
        <f t="shared" si="16"/>
        <v>17666</v>
      </c>
      <c r="J30" s="2"/>
      <c r="K30" s="42" t="s">
        <v>122</v>
      </c>
      <c r="L30" s="2"/>
      <c r="M30" s="2"/>
      <c r="N30" s="2"/>
      <c r="O30" s="2"/>
      <c r="P30" s="2"/>
      <c r="Q30" s="2"/>
      <c r="R30" s="8"/>
    </row>
    <row r="31" spans="1:26" ht="15.75" customHeight="1" x14ac:dyDescent="0.25">
      <c r="A31" s="31" t="s">
        <v>29</v>
      </c>
      <c r="B31" s="28"/>
      <c r="C31" s="28">
        <f>'Area 5 Breakdown'!D17</f>
        <v>17600</v>
      </c>
      <c r="D31" s="28" t="s">
        <v>130</v>
      </c>
      <c r="E31" s="7">
        <f t="shared" si="13"/>
        <v>1760</v>
      </c>
      <c r="F31" s="7">
        <f t="shared" si="14"/>
        <v>19360</v>
      </c>
      <c r="G31" s="28"/>
      <c r="H31" s="2">
        <f t="shared" si="15"/>
        <v>15488</v>
      </c>
      <c r="I31" s="2">
        <f t="shared" si="16"/>
        <v>3872</v>
      </c>
      <c r="J31" s="2"/>
      <c r="K31" s="42" t="s">
        <v>122</v>
      </c>
      <c r="L31" s="2"/>
      <c r="M31" s="2"/>
      <c r="N31" s="2"/>
      <c r="O31" s="2"/>
      <c r="P31" s="2"/>
      <c r="Q31" s="2"/>
      <c r="R31" s="8"/>
    </row>
    <row r="32" spans="1:26" ht="15.75" customHeight="1" x14ac:dyDescent="0.25">
      <c r="A32" s="31" t="s">
        <v>30</v>
      </c>
      <c r="B32" s="2"/>
      <c r="C32" s="2">
        <f>'Area 5 Breakdown'!D19</f>
        <v>50400</v>
      </c>
      <c r="D32" s="28" t="s">
        <v>130</v>
      </c>
      <c r="E32" s="7">
        <f t="shared" si="13"/>
        <v>5040</v>
      </c>
      <c r="F32" s="7">
        <f t="shared" si="14"/>
        <v>55440</v>
      </c>
      <c r="G32" s="32"/>
      <c r="H32" s="2">
        <f t="shared" si="15"/>
        <v>44352</v>
      </c>
      <c r="I32" s="2">
        <f t="shared" si="16"/>
        <v>11088</v>
      </c>
      <c r="J32" s="2"/>
      <c r="K32" s="42" t="s">
        <v>122</v>
      </c>
      <c r="P32" s="2"/>
      <c r="Q32" s="2"/>
    </row>
    <row r="33" spans="1:23" ht="15.75" customHeight="1" x14ac:dyDescent="0.25">
      <c r="A33" s="31" t="s">
        <v>32</v>
      </c>
      <c r="B33" s="2"/>
      <c r="C33" s="28">
        <f>'Area 5 Breakdown'!D25</f>
        <v>74800</v>
      </c>
      <c r="D33" s="28" t="s">
        <v>130</v>
      </c>
      <c r="E33" s="7">
        <f t="shared" si="13"/>
        <v>7480</v>
      </c>
      <c r="F33" s="7">
        <f t="shared" si="14"/>
        <v>82280</v>
      </c>
      <c r="G33" s="32"/>
      <c r="H33" s="2">
        <f t="shared" si="15"/>
        <v>65824</v>
      </c>
      <c r="I33" s="2">
        <f t="shared" si="16"/>
        <v>16456</v>
      </c>
      <c r="J33" s="2"/>
      <c r="K33" s="42" t="s">
        <v>122</v>
      </c>
      <c r="P33" s="2"/>
      <c r="Q33" s="2"/>
    </row>
    <row r="34" spans="1:23" ht="15.75" customHeight="1" x14ac:dyDescent="0.25">
      <c r="A34" s="31" t="s">
        <v>167</v>
      </c>
      <c r="B34" s="2"/>
      <c r="C34" s="2">
        <f>'Area 5 Breakdown'!D26</f>
        <v>30600</v>
      </c>
      <c r="D34" s="28" t="s">
        <v>130</v>
      </c>
      <c r="E34" s="7">
        <f t="shared" si="13"/>
        <v>3060</v>
      </c>
      <c r="F34" s="7">
        <f t="shared" si="14"/>
        <v>33660</v>
      </c>
      <c r="G34" s="32"/>
      <c r="H34" s="2">
        <f t="shared" si="15"/>
        <v>26928</v>
      </c>
      <c r="I34" s="2">
        <f t="shared" si="16"/>
        <v>6732</v>
      </c>
      <c r="J34" s="2"/>
      <c r="K34" s="42" t="s">
        <v>122</v>
      </c>
      <c r="P34" s="2"/>
      <c r="Q34" s="2"/>
    </row>
    <row r="35" spans="1:23" ht="15.75" customHeight="1" x14ac:dyDescent="0.25">
      <c r="A35" s="31" t="s">
        <v>31</v>
      </c>
      <c r="B35" s="2"/>
      <c r="C35" s="2">
        <f>'Area 5 Breakdown'!D32</f>
        <v>4400</v>
      </c>
      <c r="D35" s="28" t="s">
        <v>130</v>
      </c>
      <c r="E35" s="7">
        <f t="shared" si="13"/>
        <v>440</v>
      </c>
      <c r="F35" s="7">
        <f t="shared" si="14"/>
        <v>4840</v>
      </c>
      <c r="G35" s="32"/>
      <c r="H35" s="2">
        <f t="shared" si="15"/>
        <v>3872</v>
      </c>
      <c r="I35" s="2">
        <f t="shared" si="16"/>
        <v>968</v>
      </c>
      <c r="J35" s="2"/>
      <c r="K35" s="42" t="s">
        <v>122</v>
      </c>
      <c r="P35" s="2"/>
      <c r="Q35" s="2"/>
    </row>
    <row r="36" spans="1:23" ht="15.75" customHeight="1" x14ac:dyDescent="0.25">
      <c r="A36" s="28">
        <f>SUM(C29:C35)</f>
        <v>319700</v>
      </c>
      <c r="B36" s="2"/>
      <c r="C36" s="2"/>
      <c r="D36" s="2"/>
      <c r="E36" s="2"/>
      <c r="F36" s="2"/>
      <c r="G36" s="2">
        <f>SUM(F29:F35)</f>
        <v>351670</v>
      </c>
      <c r="I36" s="2"/>
      <c r="J36" s="2" t="s">
        <v>54</v>
      </c>
      <c r="K36" s="42" t="s">
        <v>122</v>
      </c>
      <c r="P36" s="2"/>
      <c r="Q36" s="2">
        <f>SUM(I29:I35)</f>
        <v>70334</v>
      </c>
    </row>
    <row r="37" spans="1:23" ht="15.75" customHeight="1" x14ac:dyDescent="0.25">
      <c r="A37" s="11" t="s">
        <v>5</v>
      </c>
      <c r="B37" s="12">
        <f>SUM(B3:B28)</f>
        <v>8098975</v>
      </c>
      <c r="C37" s="12">
        <f>SUM(C3:C35)</f>
        <v>10163216</v>
      </c>
      <c r="D37" s="12"/>
      <c r="E37" s="2">
        <f>SUM(E3:E35)</f>
        <v>838350.20000000007</v>
      </c>
      <c r="F37" s="2">
        <f>SUM(C37:E37)</f>
        <v>11001566.199999999</v>
      </c>
      <c r="G37" s="90">
        <f>G36+G27+G14+G9+G5+G20</f>
        <v>11001566.199999999</v>
      </c>
      <c r="H37" s="2">
        <f>F37*0.8</f>
        <v>8801252.959999999</v>
      </c>
      <c r="I37" s="2">
        <f>F37*0.2</f>
        <v>2200313.2399999998</v>
      </c>
      <c r="J37" s="2"/>
      <c r="L37" s="2">
        <f>SUM(L3:L35)</f>
        <v>-571497.18999999994</v>
      </c>
      <c r="M37" s="2">
        <f>SUM(M3:M35)</f>
        <v>-42851</v>
      </c>
      <c r="N37" s="2"/>
      <c r="O37" s="2">
        <f>SUM(O3:O35)</f>
        <v>-250000</v>
      </c>
      <c r="P37" s="2">
        <f>SUM(P3:P35)</f>
        <v>-864348.19000000006</v>
      </c>
      <c r="Q37" s="2">
        <f>I37+P37</f>
        <v>1335965.0499999998</v>
      </c>
    </row>
    <row r="38" spans="1:23" ht="15.75" customHeight="1" x14ac:dyDescent="0.25">
      <c r="A38" s="31" t="s">
        <v>59</v>
      </c>
      <c r="B38" s="7"/>
      <c r="C38" s="7"/>
      <c r="D38" s="7"/>
      <c r="E38" s="7"/>
      <c r="F38" s="7">
        <f>SUM(F3:F35)</f>
        <v>11001566.200000001</v>
      </c>
      <c r="G38" s="7"/>
      <c r="H38" s="2">
        <f>SUM(H3:H35)</f>
        <v>8801252.9600000009</v>
      </c>
      <c r="I38" s="2">
        <f>SUM(I3:I35)</f>
        <v>2200313.2400000002</v>
      </c>
      <c r="J38" s="2"/>
      <c r="P38" s="2"/>
      <c r="Q38" s="2">
        <f>SUM(Q3:Q36)</f>
        <v>1335965.05</v>
      </c>
      <c r="R38" t="s">
        <v>55</v>
      </c>
    </row>
    <row r="39" spans="1:23" ht="15.75" customHeight="1" x14ac:dyDescent="0.25">
      <c r="A39" s="31"/>
      <c r="B39" s="7"/>
      <c r="C39" s="7"/>
      <c r="D39" s="7"/>
      <c r="E39" s="7"/>
      <c r="F39" s="7"/>
      <c r="G39" s="7"/>
      <c r="H39" s="2"/>
      <c r="I39" s="2"/>
      <c r="J39" s="2"/>
      <c r="K39" s="78"/>
      <c r="P39" s="2"/>
      <c r="Q39" s="2"/>
    </row>
    <row r="40" spans="1:23" ht="15.75" customHeight="1" x14ac:dyDescent="0.25">
      <c r="A40" s="21" t="s">
        <v>69</v>
      </c>
      <c r="B40" s="7"/>
      <c r="C40" s="7"/>
      <c r="D40" s="7"/>
      <c r="E40" s="7"/>
      <c r="F40" s="7"/>
      <c r="G40" s="7"/>
      <c r="H40" s="2"/>
      <c r="I40" s="2"/>
      <c r="J40" s="2"/>
      <c r="P40" s="2"/>
      <c r="Q40" s="2"/>
    </row>
    <row r="41" spans="1:23" x14ac:dyDescent="0.25">
      <c r="A41" s="35" t="s">
        <v>68</v>
      </c>
      <c r="B41" s="7">
        <f>171000*3*2</f>
        <v>1026000</v>
      </c>
      <c r="C41" s="103">
        <v>708375</v>
      </c>
      <c r="D41" s="7" t="s">
        <v>25</v>
      </c>
      <c r="E41" s="7">
        <f>C41*0.1</f>
        <v>70837.5</v>
      </c>
      <c r="F41" s="7">
        <f>C41+E41</f>
        <v>779212.5</v>
      </c>
      <c r="G41" s="7">
        <f>F41</f>
        <v>779212.5</v>
      </c>
      <c r="H41" s="2">
        <f>F41*0.8</f>
        <v>623370</v>
      </c>
      <c r="I41" s="2">
        <f>F41*0.2</f>
        <v>155842.5</v>
      </c>
      <c r="J41" s="2"/>
      <c r="K41" s="1" t="s">
        <v>37</v>
      </c>
      <c r="L41" s="2"/>
      <c r="M41" s="2"/>
      <c r="N41" s="2"/>
      <c r="O41" s="2"/>
      <c r="P41" s="2"/>
      <c r="Q41" s="2">
        <f>I41+P41</f>
        <v>155842.5</v>
      </c>
      <c r="R41" s="1"/>
    </row>
    <row r="42" spans="1:23" x14ac:dyDescent="0.25">
      <c r="A42" s="33" t="s">
        <v>9</v>
      </c>
      <c r="B42" s="7">
        <v>97000</v>
      </c>
      <c r="C42" s="7"/>
      <c r="D42" s="7" t="s">
        <v>26</v>
      </c>
      <c r="E42" s="7"/>
      <c r="F42" s="7"/>
      <c r="G42" s="7"/>
      <c r="H42" s="2"/>
      <c r="I42" s="2"/>
      <c r="J42" s="2"/>
      <c r="K42" s="106" t="s">
        <v>192</v>
      </c>
      <c r="L42" s="2"/>
      <c r="M42" s="2"/>
      <c r="N42" s="2"/>
      <c r="O42" s="2"/>
      <c r="P42" s="2"/>
      <c r="Q42" s="2">
        <f>I42+P42</f>
        <v>0</v>
      </c>
      <c r="R42" s="1"/>
    </row>
    <row r="43" spans="1:23" ht="15.75" customHeight="1" x14ac:dyDescent="0.25">
      <c r="A43" s="80" t="s">
        <v>162</v>
      </c>
      <c r="B43" s="7">
        <f>171000*3</f>
        <v>513000</v>
      </c>
      <c r="C43" s="7">
        <v>399088</v>
      </c>
      <c r="D43" s="7" t="s">
        <v>161</v>
      </c>
      <c r="E43" s="7">
        <f>C43*0.1</f>
        <v>39908.800000000003</v>
      </c>
      <c r="F43" s="7">
        <v>438997</v>
      </c>
      <c r="G43" s="7">
        <f>F43</f>
        <v>438997</v>
      </c>
      <c r="H43" s="2">
        <f>F43*0.8</f>
        <v>351197.60000000003</v>
      </c>
      <c r="I43" s="2">
        <f>F43*0.2</f>
        <v>87799.400000000009</v>
      </c>
      <c r="J43" s="2"/>
      <c r="K43" s="1" t="s">
        <v>38</v>
      </c>
      <c r="L43" s="2"/>
      <c r="M43" s="2"/>
      <c r="N43" s="2"/>
      <c r="O43" s="2"/>
      <c r="P43" s="2"/>
      <c r="Q43" s="2">
        <f>I43+P43</f>
        <v>87799.400000000009</v>
      </c>
      <c r="R43" s="1"/>
    </row>
    <row r="44" spans="1:23" ht="15.75" customHeight="1" x14ac:dyDescent="0.25">
      <c r="A44" s="34"/>
      <c r="B44" s="7"/>
      <c r="C44" s="7"/>
      <c r="D44" s="7"/>
      <c r="E44" s="2"/>
      <c r="F44" s="2"/>
      <c r="G44" s="7"/>
      <c r="H44" s="2"/>
      <c r="I44" s="2"/>
      <c r="J44" s="2"/>
      <c r="K44" s="1"/>
      <c r="L44" s="2"/>
      <c r="M44" s="2"/>
      <c r="N44" s="2"/>
      <c r="O44" s="2"/>
      <c r="P44" s="2"/>
      <c r="Q44" s="2"/>
      <c r="R44" s="1"/>
      <c r="S44" s="13"/>
      <c r="T44" s="1"/>
      <c r="U44" s="1"/>
      <c r="V44" s="1"/>
      <c r="W44" s="1"/>
    </row>
    <row r="45" spans="1:23" ht="15.75" customHeight="1" x14ac:dyDescent="0.25">
      <c r="B45" s="7"/>
      <c r="C45" s="7"/>
      <c r="D45" s="7"/>
      <c r="E45" s="2"/>
      <c r="F45" s="2"/>
      <c r="G45" s="7"/>
      <c r="I45" s="14"/>
      <c r="J45" s="14"/>
    </row>
    <row r="46" spans="1:23" ht="15.75" customHeight="1" x14ac:dyDescent="0.25">
      <c r="A46" s="11" t="s">
        <v>6</v>
      </c>
      <c r="B46" s="12">
        <f>SUM(B37:B44)</f>
        <v>9734975</v>
      </c>
      <c r="C46" s="12">
        <f>C37+C41+C43</f>
        <v>11270679</v>
      </c>
      <c r="D46" s="12"/>
      <c r="E46" s="12">
        <f>E37+E41+E43</f>
        <v>949096.50000000012</v>
      </c>
      <c r="F46" s="90">
        <f>F37+F41+F43</f>
        <v>12219775.699999999</v>
      </c>
      <c r="G46" s="12">
        <f>G37+G41+G43</f>
        <v>12219775.699999999</v>
      </c>
      <c r="H46" s="12">
        <f>H37+H41+H43</f>
        <v>9775820.5599999987</v>
      </c>
      <c r="I46" s="12">
        <f>I37+I41+I43</f>
        <v>2443955.1399999997</v>
      </c>
      <c r="J46" s="2"/>
      <c r="L46" s="2"/>
      <c r="M46" s="2"/>
      <c r="N46" s="2"/>
      <c r="O46" s="2"/>
      <c r="P46" s="2"/>
      <c r="Q46" s="2"/>
    </row>
    <row r="47" spans="1:23" ht="15.75" customHeight="1" x14ac:dyDescent="0.25">
      <c r="B47" s="7"/>
      <c r="C47" s="7"/>
      <c r="D47" s="7"/>
      <c r="E47" s="7"/>
      <c r="F47" s="7"/>
      <c r="G47" s="7"/>
      <c r="I47" s="2"/>
      <c r="J47" s="1"/>
    </row>
    <row r="48" spans="1:23" ht="15.75" customHeight="1" x14ac:dyDescent="0.25">
      <c r="A48" s="6" t="s">
        <v>7</v>
      </c>
      <c r="B48" s="7">
        <f>B46*0.8</f>
        <v>7787980</v>
      </c>
      <c r="C48" s="7">
        <f>F46*0.8</f>
        <v>9775820.5600000005</v>
      </c>
      <c r="D48" s="7"/>
      <c r="E48" s="7"/>
      <c r="F48" s="7"/>
      <c r="G48" s="7"/>
      <c r="I48" s="2"/>
      <c r="J48" s="2"/>
    </row>
    <row r="49" spans="1:10" ht="15.75" customHeight="1" x14ac:dyDescent="0.25">
      <c r="A49" s="6" t="s">
        <v>8</v>
      </c>
      <c r="B49" s="7">
        <f>B46*0.2</f>
        <v>1946995</v>
      </c>
      <c r="C49" s="7">
        <f>F46*0.2</f>
        <v>2443955.14</v>
      </c>
      <c r="D49" s="7"/>
      <c r="E49" s="7"/>
      <c r="F49" s="7"/>
      <c r="G49" s="7"/>
      <c r="I49" s="2"/>
      <c r="J49" s="2"/>
    </row>
    <row r="50" spans="1:10" ht="15.75" customHeight="1" x14ac:dyDescent="0.25">
      <c r="E50" s="2"/>
      <c r="F50" s="2"/>
      <c r="I50" s="2"/>
    </row>
    <row r="51" spans="1:10" ht="15.75" customHeight="1" x14ac:dyDescent="0.25">
      <c r="C51" s="101" t="s">
        <v>189</v>
      </c>
      <c r="D51" s="77"/>
    </row>
    <row r="52" spans="1:10" ht="15.75" customHeight="1" x14ac:dyDescent="0.25">
      <c r="C52" s="102" t="s">
        <v>190</v>
      </c>
    </row>
    <row r="53" spans="1:10" ht="15.75" customHeight="1" x14ac:dyDescent="0.25"/>
    <row r="54" spans="1:10" ht="15.75" customHeight="1" x14ac:dyDescent="0.25">
      <c r="C54" s="79"/>
    </row>
    <row r="55" spans="1:10" ht="15.75" customHeight="1" x14ac:dyDescent="0.25"/>
    <row r="56" spans="1:10" ht="15.75" customHeight="1" x14ac:dyDescent="0.25"/>
    <row r="57" spans="1:10" ht="15.75" customHeight="1" x14ac:dyDescent="0.25"/>
    <row r="58" spans="1:10" ht="15.75" customHeight="1" x14ac:dyDescent="0.25"/>
    <row r="59" spans="1:10" ht="15.75" customHeight="1" x14ac:dyDescent="0.25"/>
    <row r="60" spans="1:10" ht="15.75" customHeight="1" x14ac:dyDescent="0.25"/>
    <row r="61" spans="1:10" ht="15.75" customHeight="1" x14ac:dyDescent="0.25"/>
    <row r="62" spans="1:10" ht="15.75" customHeight="1" x14ac:dyDescent="0.25"/>
    <row r="63" spans="1:10" ht="15.75" customHeight="1" x14ac:dyDescent="0.25"/>
    <row r="64" spans="1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3BB5-FA0A-4526-9773-94E8A3E8014C}">
  <dimension ref="A1:J40"/>
  <sheetViews>
    <sheetView topLeftCell="A10" workbookViewId="0">
      <selection activeCell="E13" sqref="E13"/>
    </sheetView>
  </sheetViews>
  <sheetFormatPr defaultRowHeight="15" x14ac:dyDescent="0.25"/>
  <cols>
    <col min="1" max="1" width="25.140625" customWidth="1"/>
    <col min="2" max="2" width="18.5703125" customWidth="1"/>
    <col min="3" max="3" width="13.7109375" customWidth="1"/>
    <col min="4" max="4" width="12.85546875" customWidth="1"/>
    <col min="5" max="5" width="13.7109375" customWidth="1"/>
    <col min="7" max="7" width="16.7109375" customWidth="1"/>
    <col min="8" max="8" width="12.28515625" customWidth="1"/>
    <col min="10" max="10" width="12.5703125" customWidth="1"/>
  </cols>
  <sheetData>
    <row r="1" spans="1:10" x14ac:dyDescent="0.25">
      <c r="A1" t="s">
        <v>156</v>
      </c>
    </row>
    <row r="2" spans="1:10" x14ac:dyDescent="0.25">
      <c r="A2" s="75" t="s">
        <v>137</v>
      </c>
      <c r="B2" s="107" t="s">
        <v>193</v>
      </c>
      <c r="C2" s="48"/>
      <c r="D2" s="49"/>
      <c r="E2" s="47"/>
      <c r="F2" s="48"/>
      <c r="G2" s="47"/>
      <c r="H2" s="50"/>
    </row>
    <row r="3" spans="1:10" x14ac:dyDescent="0.25">
      <c r="A3" s="51" t="s">
        <v>131</v>
      </c>
      <c r="B3" s="2">
        <v>600082</v>
      </c>
      <c r="C3" s="1"/>
      <c r="D3" s="14"/>
      <c r="E3" s="1"/>
      <c r="F3" s="1"/>
      <c r="G3" s="1"/>
      <c r="H3" s="52"/>
    </row>
    <row r="4" spans="1:10" x14ac:dyDescent="0.25">
      <c r="A4" s="51" t="s">
        <v>149</v>
      </c>
      <c r="B4" s="2">
        <v>122597</v>
      </c>
      <c r="C4" s="1"/>
      <c r="D4" s="14"/>
      <c r="E4" s="1"/>
      <c r="F4" s="1"/>
      <c r="G4" s="1"/>
      <c r="H4" s="52"/>
    </row>
    <row r="5" spans="1:10" x14ac:dyDescent="0.25">
      <c r="A5" s="51" t="s">
        <v>132</v>
      </c>
      <c r="B5" s="2">
        <v>1136000</v>
      </c>
      <c r="C5" s="91" t="s">
        <v>177</v>
      </c>
      <c r="D5" s="14"/>
      <c r="E5" s="1"/>
      <c r="F5" s="1"/>
      <c r="G5" s="2">
        <f>E14+E15+E16+E12</f>
        <v>1136000</v>
      </c>
      <c r="H5" s="53"/>
    </row>
    <row r="6" spans="1:10" x14ac:dyDescent="0.25">
      <c r="A6" s="51" t="s">
        <v>133</v>
      </c>
      <c r="B6" s="2">
        <v>0</v>
      </c>
      <c r="C6" s="44"/>
      <c r="D6" s="2"/>
      <c r="G6" s="8"/>
      <c r="H6" s="53"/>
    </row>
    <row r="7" spans="1:10" x14ac:dyDescent="0.25">
      <c r="A7" s="76" t="s">
        <v>158</v>
      </c>
      <c r="B7" s="2">
        <f>5047635+157810</f>
        <v>5205445</v>
      </c>
      <c r="C7" s="8"/>
      <c r="D7" s="54"/>
      <c r="E7" s="54"/>
      <c r="F7" s="8"/>
      <c r="G7" s="54">
        <f>E13+E17+E20+E19</f>
        <v>5413869.2999999998</v>
      </c>
      <c r="H7" s="52"/>
    </row>
    <row r="8" spans="1:10" x14ac:dyDescent="0.25">
      <c r="A8" s="51" t="s">
        <v>136</v>
      </c>
      <c r="B8" s="2">
        <v>170000</v>
      </c>
      <c r="C8" s="44" t="s">
        <v>151</v>
      </c>
      <c r="D8" s="54"/>
      <c r="E8" s="8"/>
      <c r="F8" s="8"/>
      <c r="G8" s="54">
        <f>B7+B5</f>
        <v>6341445</v>
      </c>
      <c r="H8" s="62" t="s">
        <v>154</v>
      </c>
    </row>
    <row r="9" spans="1:10" x14ac:dyDescent="0.25">
      <c r="A9" s="51" t="s">
        <v>134</v>
      </c>
      <c r="B9" s="2">
        <v>151763</v>
      </c>
      <c r="C9" s="8"/>
      <c r="D9" s="54"/>
      <c r="E9" s="8"/>
      <c r="F9" s="8"/>
      <c r="G9" s="54">
        <f>B17-G8</f>
        <v>564424.29999999981</v>
      </c>
      <c r="H9" s="53"/>
      <c r="I9" s="80"/>
    </row>
    <row r="10" spans="1:10" x14ac:dyDescent="0.25">
      <c r="A10" s="55" t="s">
        <v>40</v>
      </c>
      <c r="B10" s="86">
        <f>SUM(B3:B9)</f>
        <v>7385887</v>
      </c>
      <c r="C10" s="57"/>
      <c r="D10" s="56"/>
      <c r="E10" s="58"/>
      <c r="F10" s="57"/>
      <c r="G10" s="57"/>
      <c r="H10" s="59"/>
      <c r="I10" s="2"/>
      <c r="J10" s="2"/>
    </row>
    <row r="11" spans="1:10" x14ac:dyDescent="0.25">
      <c r="A11" s="8"/>
      <c r="B11" s="8"/>
      <c r="C11" s="8"/>
      <c r="D11" s="8"/>
      <c r="E11" s="8"/>
      <c r="F11" s="8"/>
      <c r="G11" s="8"/>
    </row>
    <row r="12" spans="1:10" x14ac:dyDescent="0.25">
      <c r="A12" s="46" t="s">
        <v>138</v>
      </c>
      <c r="B12" s="107" t="s">
        <v>194</v>
      </c>
      <c r="C12" s="60" t="s">
        <v>155</v>
      </c>
      <c r="D12" s="44"/>
      <c r="E12" s="65">
        <v>46000</v>
      </c>
      <c r="F12" s="47" t="s">
        <v>135</v>
      </c>
      <c r="G12" s="66"/>
      <c r="H12" s="66"/>
      <c r="I12" s="67"/>
    </row>
    <row r="13" spans="1:10" x14ac:dyDescent="0.25">
      <c r="A13" s="51" t="s">
        <v>139</v>
      </c>
      <c r="B13" s="2">
        <f>Summary!F3</f>
        <v>1297010</v>
      </c>
      <c r="C13" s="52">
        <f t="shared" ref="C13:C24" si="0">B13*0.2</f>
        <v>259402</v>
      </c>
      <c r="E13" s="92">
        <f>574716+16700</f>
        <v>591416</v>
      </c>
      <c r="F13" s="44" t="s">
        <v>143</v>
      </c>
      <c r="I13" s="53"/>
    </row>
    <row r="14" spans="1:10" x14ac:dyDescent="0.25">
      <c r="A14" s="51" t="s">
        <v>140</v>
      </c>
      <c r="B14" s="2">
        <f>Summary!F4</f>
        <v>3256000</v>
      </c>
      <c r="C14" s="52">
        <f t="shared" si="0"/>
        <v>651200</v>
      </c>
      <c r="E14" s="69">
        <f>85000*2</f>
        <v>170000</v>
      </c>
      <c r="F14" s="44" t="s">
        <v>144</v>
      </c>
      <c r="I14" s="53"/>
    </row>
    <row r="15" spans="1:10" x14ac:dyDescent="0.25">
      <c r="A15" s="51" t="s">
        <v>11</v>
      </c>
      <c r="B15" s="2">
        <f>Summary!F7</f>
        <v>1535317.3</v>
      </c>
      <c r="C15" s="52">
        <f t="shared" si="0"/>
        <v>307063.46000000002</v>
      </c>
      <c r="E15" s="68">
        <v>170000</v>
      </c>
      <c r="F15" s="91" t="s">
        <v>178</v>
      </c>
      <c r="I15" s="53"/>
    </row>
    <row r="16" spans="1:10" x14ac:dyDescent="0.25">
      <c r="A16" s="51" t="s">
        <v>14</v>
      </c>
      <c r="B16" s="2">
        <f>Summary!F8</f>
        <v>817542</v>
      </c>
      <c r="C16" s="52">
        <f t="shared" si="0"/>
        <v>163508.40000000002</v>
      </c>
      <c r="E16" s="68">
        <v>750000</v>
      </c>
      <c r="F16" s="44" t="s">
        <v>145</v>
      </c>
      <c r="I16" s="53"/>
    </row>
    <row r="17" spans="1:9" x14ac:dyDescent="0.25">
      <c r="A17" s="51" t="s">
        <v>142</v>
      </c>
      <c r="B17" s="2">
        <f>SUM(B13:B16)</f>
        <v>6905869.2999999998</v>
      </c>
      <c r="C17" s="52">
        <f t="shared" si="0"/>
        <v>1381173.86</v>
      </c>
      <c r="E17" s="68">
        <f>(B13+B15+B16)-(E13+E14+E15+E12)</f>
        <v>2672453.2999999998</v>
      </c>
      <c r="F17" s="44" t="s">
        <v>150</v>
      </c>
      <c r="I17" s="53"/>
    </row>
    <row r="18" spans="1:9" x14ac:dyDescent="0.25">
      <c r="A18" s="84" t="s">
        <v>131</v>
      </c>
      <c r="B18" s="2">
        <f>Summary!C16</f>
        <v>600082</v>
      </c>
      <c r="C18" s="52">
        <f t="shared" si="0"/>
        <v>120016.40000000001</v>
      </c>
      <c r="E18" s="71">
        <f>E17+(B14-750000)</f>
        <v>5178453.3</v>
      </c>
      <c r="F18" s="83" t="s">
        <v>170</v>
      </c>
      <c r="I18" s="53"/>
    </row>
    <row r="19" spans="1:9" x14ac:dyDescent="0.25">
      <c r="A19" s="84" t="s">
        <v>149</v>
      </c>
      <c r="B19" s="2">
        <f>Summary!F17</f>
        <v>122597</v>
      </c>
      <c r="C19" s="52">
        <f t="shared" si="0"/>
        <v>24519.4</v>
      </c>
      <c r="D19" s="1"/>
      <c r="E19" s="68">
        <v>2000000</v>
      </c>
      <c r="F19" s="44" t="s">
        <v>146</v>
      </c>
      <c r="I19" s="53"/>
    </row>
    <row r="20" spans="1:9" x14ac:dyDescent="0.25">
      <c r="A20" s="84" t="s">
        <v>134</v>
      </c>
      <c r="B20" s="14">
        <f>Summary!C18</f>
        <v>151763</v>
      </c>
      <c r="C20" s="52">
        <f t="shared" si="0"/>
        <v>30352.600000000002</v>
      </c>
      <c r="D20" s="1"/>
      <c r="E20" s="68">
        <v>150000</v>
      </c>
      <c r="F20" s="44" t="s">
        <v>147</v>
      </c>
      <c r="I20" s="53"/>
    </row>
    <row r="21" spans="1:9" x14ac:dyDescent="0.25">
      <c r="A21" s="51" t="s">
        <v>153</v>
      </c>
      <c r="B21" s="14">
        <f>Summary!F19</f>
        <v>170000</v>
      </c>
      <c r="C21" s="52">
        <f t="shared" si="0"/>
        <v>34000</v>
      </c>
      <c r="D21" s="13"/>
      <c r="E21" s="71">
        <f>E16+E19+E20</f>
        <v>2900000</v>
      </c>
      <c r="F21" s="44" t="s">
        <v>148</v>
      </c>
      <c r="I21" s="53"/>
    </row>
    <row r="22" spans="1:9" x14ac:dyDescent="0.25">
      <c r="A22" s="81" t="s">
        <v>50</v>
      </c>
      <c r="B22" s="14">
        <f>SUM(B17:B21)</f>
        <v>7950311.2999999998</v>
      </c>
      <c r="C22" s="14">
        <f>SUM(C17:C21)</f>
        <v>1590062.26</v>
      </c>
      <c r="D22" s="13"/>
      <c r="E22" s="70"/>
      <c r="I22" s="53"/>
    </row>
    <row r="23" spans="1:9" x14ac:dyDescent="0.25">
      <c r="A23" s="85" t="s">
        <v>171</v>
      </c>
      <c r="B23" s="105">
        <f>B22-B10</f>
        <v>564424.29999999981</v>
      </c>
      <c r="C23" s="14"/>
      <c r="D23" s="13"/>
      <c r="E23" s="71">
        <f>B10*0.8</f>
        <v>5908709.6000000006</v>
      </c>
      <c r="F23" s="44" t="s">
        <v>44</v>
      </c>
      <c r="I23" s="53"/>
    </row>
    <row r="24" spans="1:9" x14ac:dyDescent="0.25">
      <c r="A24" s="55" t="s">
        <v>40</v>
      </c>
      <c r="B24" s="87">
        <f>B22-B23</f>
        <v>7385887</v>
      </c>
      <c r="C24" s="64">
        <f t="shared" si="0"/>
        <v>1477177.4000000001</v>
      </c>
      <c r="D24" s="13"/>
      <c r="E24" s="71">
        <f>B10*0.2</f>
        <v>1477177.4000000001</v>
      </c>
      <c r="F24" s="44" t="s">
        <v>8</v>
      </c>
      <c r="I24" s="53"/>
    </row>
    <row r="25" spans="1:9" x14ac:dyDescent="0.25">
      <c r="A25" s="1"/>
      <c r="B25" s="13"/>
      <c r="C25" s="13"/>
      <c r="E25" s="72">
        <f>B18+B19</f>
        <v>722679</v>
      </c>
      <c r="F25" s="73" t="s">
        <v>131</v>
      </c>
      <c r="G25" s="74"/>
      <c r="H25" s="56"/>
      <c r="I25" s="59"/>
    </row>
    <row r="26" spans="1:9" x14ac:dyDescent="0.25">
      <c r="A26" s="83"/>
      <c r="B26" s="23"/>
      <c r="C26" s="13"/>
    </row>
    <row r="27" spans="1:9" x14ac:dyDescent="0.25">
      <c r="A27" s="93" t="s">
        <v>175</v>
      </c>
      <c r="B27" s="94">
        <v>2599642</v>
      </c>
      <c r="C27" s="66"/>
      <c r="D27" s="66"/>
      <c r="E27" s="67"/>
    </row>
    <row r="28" spans="1:9" x14ac:dyDescent="0.25">
      <c r="A28" s="95" t="s">
        <v>176</v>
      </c>
      <c r="B28" s="2">
        <f>E17</f>
        <v>2672453.2999999998</v>
      </c>
      <c r="E28" s="53"/>
    </row>
    <row r="29" spans="1:9" x14ac:dyDescent="0.25">
      <c r="A29" s="95" t="s">
        <v>179</v>
      </c>
      <c r="B29" s="2">
        <f>B28-B27</f>
        <v>72811.299999999814</v>
      </c>
      <c r="E29" s="53"/>
    </row>
    <row r="30" spans="1:9" x14ac:dyDescent="0.25">
      <c r="A30" s="95" t="s">
        <v>180</v>
      </c>
      <c r="B30" s="2">
        <f>B29+85000</f>
        <v>157811.29999999981</v>
      </c>
      <c r="C30" t="s">
        <v>195</v>
      </c>
      <c r="E30" s="53"/>
    </row>
    <row r="31" spans="1:9" x14ac:dyDescent="0.25">
      <c r="A31" s="95" t="s">
        <v>181</v>
      </c>
      <c r="B31" s="96" t="s">
        <v>184</v>
      </c>
      <c r="C31" s="91" t="s">
        <v>183</v>
      </c>
      <c r="D31" s="91" t="s">
        <v>182</v>
      </c>
      <c r="E31" s="53"/>
    </row>
    <row r="32" spans="1:9" x14ac:dyDescent="0.25">
      <c r="A32" s="97"/>
      <c r="B32" s="2">
        <v>134118</v>
      </c>
      <c r="C32" s="2">
        <v>314628</v>
      </c>
      <c r="D32" s="2">
        <f>C32-B32</f>
        <v>180510</v>
      </c>
      <c r="E32" s="53"/>
    </row>
    <row r="33" spans="1:5" x14ac:dyDescent="0.25">
      <c r="A33" s="108" t="s">
        <v>196</v>
      </c>
      <c r="D33" s="2">
        <f>D32-(6000+16700)</f>
        <v>157810</v>
      </c>
      <c r="E33" s="98" t="s">
        <v>185</v>
      </c>
    </row>
    <row r="34" spans="1:5" x14ac:dyDescent="0.25">
      <c r="A34" s="95" t="s">
        <v>186</v>
      </c>
      <c r="D34" s="2">
        <f>D33</f>
        <v>157810</v>
      </c>
      <c r="E34" s="53"/>
    </row>
    <row r="35" spans="1:5" x14ac:dyDescent="0.25">
      <c r="A35" s="95" t="s">
        <v>187</v>
      </c>
      <c r="B35" s="2">
        <v>2897635</v>
      </c>
      <c r="E35" s="53"/>
    </row>
    <row r="36" spans="1:5" x14ac:dyDescent="0.25">
      <c r="A36" s="99" t="s">
        <v>188</v>
      </c>
      <c r="B36" s="86">
        <f>B35+D34</f>
        <v>3055445</v>
      </c>
      <c r="C36" s="100"/>
      <c r="D36" s="100"/>
      <c r="E36" s="59"/>
    </row>
    <row r="37" spans="1:5" x14ac:dyDescent="0.25">
      <c r="B37" s="2"/>
    </row>
    <row r="38" spans="1:5" x14ac:dyDescent="0.25">
      <c r="B38" s="101" t="s">
        <v>189</v>
      </c>
    </row>
    <row r="39" spans="1:5" x14ac:dyDescent="0.25">
      <c r="B39" s="102" t="s">
        <v>190</v>
      </c>
    </row>
    <row r="40" spans="1:5" x14ac:dyDescent="0.25">
      <c r="B40" s="104" t="s">
        <v>191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EF1C-CC59-4B32-A213-FE0410658CB9}">
  <dimension ref="A1:G34"/>
  <sheetViews>
    <sheetView workbookViewId="0">
      <selection activeCell="G14" sqref="G14"/>
    </sheetView>
  </sheetViews>
  <sheetFormatPr defaultRowHeight="15" x14ac:dyDescent="0.25"/>
  <cols>
    <col min="1" max="1" width="18.140625" customWidth="1"/>
    <col min="2" max="2" width="16.28515625" customWidth="1"/>
    <col min="3" max="3" width="13.42578125" customWidth="1"/>
    <col min="4" max="4" width="10.85546875" bestFit="1" customWidth="1"/>
  </cols>
  <sheetData>
    <row r="1" spans="1:7" x14ac:dyDescent="0.25">
      <c r="A1" s="80" t="s">
        <v>163</v>
      </c>
    </row>
    <row r="2" spans="1:7" x14ac:dyDescent="0.25">
      <c r="A2" s="82" t="s">
        <v>164</v>
      </c>
      <c r="B2" s="63" t="s">
        <v>157</v>
      </c>
      <c r="C2" s="48"/>
    </row>
    <row r="3" spans="1:7" x14ac:dyDescent="0.25">
      <c r="A3" s="51" t="s">
        <v>131</v>
      </c>
      <c r="B3" s="2">
        <v>415630</v>
      </c>
      <c r="C3" s="1"/>
    </row>
    <row r="4" spans="1:7" x14ac:dyDescent="0.25">
      <c r="A4" s="51" t="s">
        <v>149</v>
      </c>
      <c r="B4" s="2">
        <v>88529</v>
      </c>
      <c r="C4" s="1"/>
    </row>
    <row r="5" spans="1:7" x14ac:dyDescent="0.25">
      <c r="A5" s="81" t="s">
        <v>83</v>
      </c>
      <c r="B5" s="2">
        <v>12608</v>
      </c>
      <c r="C5" s="1"/>
    </row>
    <row r="6" spans="1:7" x14ac:dyDescent="0.25">
      <c r="A6" s="51" t="s">
        <v>133</v>
      </c>
      <c r="B6" s="2">
        <v>26600</v>
      </c>
      <c r="C6" s="44"/>
    </row>
    <row r="7" spans="1:7" x14ac:dyDescent="0.25">
      <c r="A7" s="76" t="s">
        <v>158</v>
      </c>
      <c r="B7" s="2">
        <v>1785739</v>
      </c>
      <c r="C7" s="8"/>
    </row>
    <row r="8" spans="1:7" x14ac:dyDescent="0.25">
      <c r="A8" s="51" t="s">
        <v>136</v>
      </c>
      <c r="B8" s="2">
        <v>75000</v>
      </c>
      <c r="C8" s="44"/>
    </row>
    <row r="9" spans="1:7" x14ac:dyDescent="0.25">
      <c r="A9" s="51" t="s">
        <v>134</v>
      </c>
      <c r="B9" s="2">
        <v>116905</v>
      </c>
      <c r="C9" s="80" t="s">
        <v>37</v>
      </c>
    </row>
    <row r="10" spans="1:7" x14ac:dyDescent="0.25">
      <c r="A10" s="55" t="s">
        <v>40</v>
      </c>
      <c r="B10" s="56">
        <f>SUM(B3:B9)</f>
        <v>2521011</v>
      </c>
      <c r="C10" s="57">
        <v>197740</v>
      </c>
      <c r="D10" s="2">
        <f>B10+C10</f>
        <v>2718751</v>
      </c>
    </row>
    <row r="12" spans="1:7" x14ac:dyDescent="0.25">
      <c r="A12" s="82" t="s">
        <v>165</v>
      </c>
      <c r="B12" s="47" t="s">
        <v>141</v>
      </c>
      <c r="C12" s="60" t="s">
        <v>155</v>
      </c>
    </row>
    <row r="13" spans="1:7" x14ac:dyDescent="0.25">
      <c r="A13" s="81" t="s">
        <v>166</v>
      </c>
      <c r="B13" s="2">
        <f>Summary!C11+Summary!C12+Summary!C13</f>
        <v>1785739</v>
      </c>
      <c r="C13" s="52">
        <f t="shared" ref="C13:C22" si="0">B13*0.2</f>
        <v>357147.80000000005</v>
      </c>
      <c r="D13" t="s">
        <v>173</v>
      </c>
      <c r="G13" s="2">
        <f>B25-B13</f>
        <v>178573.89999999991</v>
      </c>
    </row>
    <row r="14" spans="1:7" x14ac:dyDescent="0.25">
      <c r="A14" s="84" t="s">
        <v>131</v>
      </c>
      <c r="B14" s="2">
        <f>Summary!C21</f>
        <v>415630</v>
      </c>
      <c r="C14" s="52">
        <f t="shared" si="0"/>
        <v>83126</v>
      </c>
    </row>
    <row r="15" spans="1:7" x14ac:dyDescent="0.25">
      <c r="A15" s="84" t="s">
        <v>149</v>
      </c>
      <c r="B15" s="2">
        <f>Summary!C22</f>
        <v>88529</v>
      </c>
      <c r="C15" s="52">
        <f t="shared" si="0"/>
        <v>17705.8</v>
      </c>
    </row>
    <row r="16" spans="1:7" x14ac:dyDescent="0.25">
      <c r="A16" s="84" t="s">
        <v>83</v>
      </c>
      <c r="B16" s="14">
        <f>Summary!C23</f>
        <v>12608</v>
      </c>
      <c r="C16" s="52">
        <f t="shared" si="0"/>
        <v>2521.6000000000004</v>
      </c>
    </row>
    <row r="17" spans="1:4" x14ac:dyDescent="0.25">
      <c r="A17" s="84" t="s">
        <v>133</v>
      </c>
      <c r="B17" s="14">
        <f>Summary!C24</f>
        <v>26600</v>
      </c>
      <c r="C17" s="52">
        <f t="shared" si="0"/>
        <v>5320</v>
      </c>
    </row>
    <row r="18" spans="1:4" x14ac:dyDescent="0.25">
      <c r="A18" s="51" t="s">
        <v>153</v>
      </c>
      <c r="B18" s="14">
        <f>Summary!C26</f>
        <v>75000</v>
      </c>
      <c r="C18" s="52">
        <f t="shared" si="0"/>
        <v>15000</v>
      </c>
    </row>
    <row r="19" spans="1:4" x14ac:dyDescent="0.25">
      <c r="A19" s="84" t="s">
        <v>134</v>
      </c>
      <c r="B19" s="14">
        <f>Summary!C25</f>
        <v>116905</v>
      </c>
      <c r="C19" s="52">
        <f t="shared" si="0"/>
        <v>23381</v>
      </c>
    </row>
    <row r="20" spans="1:4" x14ac:dyDescent="0.25">
      <c r="A20" s="81" t="s">
        <v>50</v>
      </c>
      <c r="B20" s="14">
        <f>SUM(B13:B19)</f>
        <v>2521011</v>
      </c>
      <c r="C20" s="14">
        <f>SUM(C13:C18)</f>
        <v>480821.2</v>
      </c>
    </row>
    <row r="21" spans="1:4" x14ac:dyDescent="0.25">
      <c r="A21" s="81"/>
      <c r="B21" s="14"/>
      <c r="C21" s="14"/>
      <c r="D21" t="s">
        <v>172</v>
      </c>
    </row>
    <row r="22" spans="1:4" x14ac:dyDescent="0.25">
      <c r="A22" s="55" t="s">
        <v>40</v>
      </c>
      <c r="B22" s="61">
        <f>SUM(B20:B21)</f>
        <v>2521011</v>
      </c>
      <c r="C22" s="64">
        <f t="shared" si="0"/>
        <v>504202.2</v>
      </c>
    </row>
    <row r="24" spans="1:4" x14ac:dyDescent="0.25">
      <c r="A24" s="82" t="s">
        <v>165</v>
      </c>
      <c r="B24" s="47" t="s">
        <v>141</v>
      </c>
      <c r="C24" s="60" t="s">
        <v>155</v>
      </c>
    </row>
    <row r="25" spans="1:4" x14ac:dyDescent="0.25">
      <c r="A25" s="81" t="s">
        <v>166</v>
      </c>
      <c r="B25" s="2">
        <f>SUM(Summary!F11:F13)</f>
        <v>1964312.9</v>
      </c>
      <c r="C25" s="52">
        <f t="shared" ref="C25:C31" si="1">B25*0.2</f>
        <v>392862.58</v>
      </c>
      <c r="D25" t="s">
        <v>174</v>
      </c>
    </row>
    <row r="26" spans="1:4" x14ac:dyDescent="0.25">
      <c r="A26" s="84" t="s">
        <v>131</v>
      </c>
      <c r="B26" s="2">
        <f>Summary!F16</f>
        <v>600082</v>
      </c>
      <c r="C26" s="52">
        <f t="shared" si="1"/>
        <v>120016.40000000001</v>
      </c>
      <c r="D26" t="s">
        <v>172</v>
      </c>
    </row>
    <row r="27" spans="1:4" x14ac:dyDescent="0.25">
      <c r="A27" s="84" t="s">
        <v>149</v>
      </c>
      <c r="B27" s="2">
        <f>Summary!F22</f>
        <v>88529</v>
      </c>
      <c r="C27" s="52">
        <f t="shared" si="1"/>
        <v>17705.8</v>
      </c>
    </row>
    <row r="28" spans="1:4" x14ac:dyDescent="0.25">
      <c r="A28" s="84" t="s">
        <v>83</v>
      </c>
      <c r="B28" s="14">
        <f>Summary!F23</f>
        <v>12608</v>
      </c>
      <c r="C28" s="52">
        <f t="shared" si="1"/>
        <v>2521.6000000000004</v>
      </c>
    </row>
    <row r="29" spans="1:4" x14ac:dyDescent="0.25">
      <c r="A29" s="84" t="s">
        <v>133</v>
      </c>
      <c r="B29" s="14">
        <f>Summary!F24</f>
        <v>26600</v>
      </c>
      <c r="C29" s="52">
        <f t="shared" si="1"/>
        <v>5320</v>
      </c>
    </row>
    <row r="30" spans="1:4" x14ac:dyDescent="0.25">
      <c r="A30" s="51" t="s">
        <v>153</v>
      </c>
      <c r="B30" s="14">
        <f>Summary!F26</f>
        <v>75000</v>
      </c>
      <c r="C30" s="52">
        <f t="shared" si="1"/>
        <v>15000</v>
      </c>
    </row>
    <row r="31" spans="1:4" x14ac:dyDescent="0.25">
      <c r="A31" s="84" t="s">
        <v>134</v>
      </c>
      <c r="B31" s="14">
        <f>Summary!F25</f>
        <v>116905</v>
      </c>
      <c r="C31" s="52">
        <f t="shared" si="1"/>
        <v>23381</v>
      </c>
    </row>
    <row r="32" spans="1:4" x14ac:dyDescent="0.25">
      <c r="A32" s="81" t="s">
        <v>50</v>
      </c>
      <c r="B32" s="14">
        <f>SUM(B25:B31)</f>
        <v>2884036.9</v>
      </c>
      <c r="C32" s="14">
        <f>SUM(C25:C30)</f>
        <v>553426.38</v>
      </c>
    </row>
    <row r="33" spans="1:3" x14ac:dyDescent="0.25">
      <c r="A33" s="81"/>
      <c r="B33" s="14"/>
      <c r="C33" s="14"/>
    </row>
    <row r="34" spans="1:3" x14ac:dyDescent="0.25">
      <c r="A34" s="55" t="s">
        <v>40</v>
      </c>
      <c r="B34" s="61">
        <f>SUM(B32:B33)</f>
        <v>2884036.9</v>
      </c>
      <c r="C34" s="64">
        <f t="shared" ref="C34" si="2">B34*0.2</f>
        <v>576807.38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B8532-4DF0-4BE6-A38D-351360594B6E}">
  <dimension ref="A2:W34"/>
  <sheetViews>
    <sheetView workbookViewId="0">
      <selection activeCell="R34" sqref="R34"/>
    </sheetView>
  </sheetViews>
  <sheetFormatPr defaultRowHeight="15" x14ac:dyDescent="0.25"/>
  <cols>
    <col min="2" max="2" width="71.140625" customWidth="1"/>
    <col min="6" max="6" width="74.85546875" customWidth="1"/>
    <col min="7" max="7" width="14.140625" customWidth="1"/>
    <col min="12" max="12" width="12" customWidth="1"/>
  </cols>
  <sheetData>
    <row r="2" spans="1:23" ht="47.25" x14ac:dyDescent="0.25">
      <c r="A2" t="s">
        <v>71</v>
      </c>
      <c r="B2" s="21" t="s">
        <v>67</v>
      </c>
      <c r="C2" s="36" t="s">
        <v>72</v>
      </c>
      <c r="D2" s="28" t="s">
        <v>73</v>
      </c>
      <c r="E2" s="28" t="s">
        <v>74</v>
      </c>
      <c r="F2" s="28" t="s">
        <v>75</v>
      </c>
      <c r="G2" s="17" t="s">
        <v>57</v>
      </c>
      <c r="H2" s="17" t="s">
        <v>58</v>
      </c>
      <c r="I2" s="17" t="s">
        <v>44</v>
      </c>
      <c r="J2" s="20" t="s">
        <v>8</v>
      </c>
      <c r="K2" s="20" t="s">
        <v>76</v>
      </c>
      <c r="L2" s="20" t="s">
        <v>77</v>
      </c>
      <c r="M2" s="20" t="s">
        <v>78</v>
      </c>
      <c r="N2" s="20" t="s">
        <v>79</v>
      </c>
      <c r="O2" s="20" t="s">
        <v>80</v>
      </c>
      <c r="P2" s="20" t="s">
        <v>81</v>
      </c>
      <c r="Q2" s="20" t="s">
        <v>82</v>
      </c>
      <c r="R2" s="20" t="s">
        <v>83</v>
      </c>
      <c r="S2" s="37" t="s">
        <v>84</v>
      </c>
      <c r="T2" s="37" t="s">
        <v>85</v>
      </c>
      <c r="U2" s="2"/>
      <c r="V2" s="2"/>
    </row>
    <row r="3" spans="1:23" x14ac:dyDescent="0.25">
      <c r="A3" t="s">
        <v>86</v>
      </c>
      <c r="B3" s="31" t="s">
        <v>27</v>
      </c>
      <c r="C3" s="28">
        <v>40000</v>
      </c>
      <c r="D3" s="28">
        <f>SUM(E4:E7)</f>
        <v>61600</v>
      </c>
      <c r="E3" s="28"/>
      <c r="F3" s="28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38"/>
      <c r="T3" s="38"/>
      <c r="U3" s="2"/>
      <c r="V3" s="2"/>
      <c r="W3" s="2"/>
    </row>
    <row r="4" spans="1:23" x14ac:dyDescent="0.25">
      <c r="B4" s="31" t="s">
        <v>87</v>
      </c>
      <c r="C4" s="28"/>
      <c r="E4" s="28">
        <v>3600</v>
      </c>
      <c r="F4" s="28" t="s">
        <v>88</v>
      </c>
      <c r="G4" s="7">
        <f>E4*0.1</f>
        <v>360</v>
      </c>
      <c r="H4" s="7">
        <f>E4+G4</f>
        <v>3960</v>
      </c>
      <c r="I4" s="2">
        <f>H4*0.8</f>
        <v>3168</v>
      </c>
      <c r="J4" s="2">
        <f>H4*0.2</f>
        <v>792</v>
      </c>
      <c r="K4" s="2">
        <f>H4</f>
        <v>3960</v>
      </c>
      <c r="L4" s="2"/>
      <c r="M4" s="2"/>
      <c r="N4" s="2"/>
      <c r="O4" s="2"/>
      <c r="P4" s="2"/>
      <c r="Q4" s="2"/>
      <c r="R4" s="2"/>
      <c r="S4" s="38">
        <f>K4/100</f>
        <v>39.6</v>
      </c>
      <c r="T4" s="2">
        <f>S4*100</f>
        <v>3960</v>
      </c>
      <c r="U4" s="2"/>
      <c r="V4" s="2"/>
      <c r="W4" s="2"/>
    </row>
    <row r="5" spans="1:23" x14ac:dyDescent="0.25">
      <c r="B5" s="31" t="s">
        <v>89</v>
      </c>
      <c r="C5" s="28"/>
      <c r="E5" s="28">
        <v>14400</v>
      </c>
      <c r="F5" s="28" t="s">
        <v>90</v>
      </c>
      <c r="G5" s="7">
        <f>E5*0.1</f>
        <v>1440</v>
      </c>
      <c r="H5" s="7">
        <f>E5+G5</f>
        <v>15840</v>
      </c>
      <c r="I5" s="2">
        <f>H5*0.8</f>
        <v>12672</v>
      </c>
      <c r="J5" s="2">
        <f>H5*0.2</f>
        <v>3168</v>
      </c>
      <c r="K5" s="2"/>
      <c r="L5" s="2"/>
      <c r="M5" s="2">
        <f>H5</f>
        <v>15840</v>
      </c>
      <c r="N5" s="2"/>
      <c r="O5" s="2"/>
      <c r="P5" s="2"/>
      <c r="Q5" s="2"/>
      <c r="R5" s="2"/>
      <c r="S5" s="38"/>
      <c r="T5" s="2"/>
      <c r="U5" s="2"/>
      <c r="V5" s="2"/>
      <c r="W5" s="2"/>
    </row>
    <row r="6" spans="1:23" x14ac:dyDescent="0.25">
      <c r="B6" s="31" t="s">
        <v>91</v>
      </c>
      <c r="C6" s="28"/>
      <c r="E6" s="28">
        <v>3600</v>
      </c>
      <c r="F6" s="28" t="s">
        <v>88</v>
      </c>
      <c r="G6" s="7">
        <f>E6*0.1</f>
        <v>360</v>
      </c>
      <c r="H6" s="7">
        <f>E6+G6</f>
        <v>3960</v>
      </c>
      <c r="I6" s="2">
        <f>H6*0.8</f>
        <v>3168</v>
      </c>
      <c r="J6" s="2">
        <f>H6*0.2</f>
        <v>792</v>
      </c>
      <c r="K6" s="2"/>
      <c r="L6" s="2"/>
      <c r="M6" s="2"/>
      <c r="N6" s="2">
        <f>H6</f>
        <v>3960</v>
      </c>
      <c r="O6" s="2"/>
      <c r="P6" s="2"/>
      <c r="Q6" s="2"/>
      <c r="R6" s="2"/>
      <c r="S6" s="38"/>
      <c r="T6" s="38"/>
      <c r="U6" s="2"/>
      <c r="V6" s="2"/>
      <c r="W6" s="2"/>
    </row>
    <row r="7" spans="1:23" x14ac:dyDescent="0.25">
      <c r="B7" s="31" t="s">
        <v>92</v>
      </c>
      <c r="C7" s="28"/>
      <c r="E7" s="28">
        <v>40000</v>
      </c>
      <c r="F7" s="28" t="s">
        <v>93</v>
      </c>
      <c r="G7" s="7">
        <f>E7*0.1</f>
        <v>4000</v>
      </c>
      <c r="H7" s="7">
        <f>E7+G7</f>
        <v>44000</v>
      </c>
      <c r="I7" s="2">
        <f>H7*0.8</f>
        <v>35200</v>
      </c>
      <c r="J7" s="2">
        <f>H7*0.2</f>
        <v>8800</v>
      </c>
      <c r="K7" s="2">
        <f>H7</f>
        <v>44000</v>
      </c>
      <c r="L7" s="2"/>
      <c r="M7" s="2"/>
      <c r="N7" s="2"/>
      <c r="O7" s="2"/>
      <c r="P7" s="2"/>
      <c r="Q7" s="2"/>
      <c r="R7" s="2"/>
      <c r="S7" s="38">
        <f>K7/100</f>
        <v>440</v>
      </c>
      <c r="T7" s="2">
        <f>S7*100</f>
        <v>44000</v>
      </c>
      <c r="U7" s="2"/>
      <c r="V7" s="2"/>
      <c r="W7" s="2"/>
    </row>
    <row r="8" spans="1:23" x14ac:dyDescent="0.25">
      <c r="A8" t="s">
        <v>94</v>
      </c>
      <c r="B8" s="31" t="s">
        <v>95</v>
      </c>
      <c r="C8" s="28">
        <f>4*11*200*2*5+250*4*11</f>
        <v>99000</v>
      </c>
      <c r="D8" s="28">
        <f>SUM(E9:E16)</f>
        <v>80300</v>
      </c>
      <c r="E8" s="28"/>
      <c r="F8" s="28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38"/>
      <c r="T8" s="38"/>
      <c r="U8" s="2"/>
      <c r="V8" s="2"/>
      <c r="W8" s="2"/>
    </row>
    <row r="9" spans="1:23" x14ac:dyDescent="0.25">
      <c r="B9" s="31" t="s">
        <v>96</v>
      </c>
      <c r="C9" s="28"/>
      <c r="D9" s="28"/>
      <c r="E9" s="28">
        <v>4000</v>
      </c>
      <c r="F9" s="28" t="s">
        <v>97</v>
      </c>
      <c r="G9" s="7">
        <f t="shared" ref="G9:G16" si="0">E9*0.1</f>
        <v>400</v>
      </c>
      <c r="H9" s="7">
        <f t="shared" ref="H9:H16" si="1">E9+G9</f>
        <v>4400</v>
      </c>
      <c r="I9" s="2">
        <f t="shared" ref="I9:I16" si="2">H9*0.8</f>
        <v>3520</v>
      </c>
      <c r="J9" s="2">
        <f t="shared" ref="J9:J16" si="3">H9*0.2</f>
        <v>880</v>
      </c>
      <c r="K9" s="2">
        <f>H9</f>
        <v>4400</v>
      </c>
      <c r="L9" s="2"/>
      <c r="M9" s="2"/>
      <c r="N9" s="2"/>
      <c r="O9" s="2"/>
      <c r="P9" s="2"/>
      <c r="Q9" s="2"/>
      <c r="R9" s="2"/>
      <c r="S9" s="38">
        <f>K9/100</f>
        <v>44</v>
      </c>
      <c r="T9" s="2">
        <f>S9*100</f>
        <v>4400</v>
      </c>
      <c r="U9" s="2"/>
      <c r="V9" s="2"/>
      <c r="W9" s="2"/>
    </row>
    <row r="10" spans="1:23" x14ac:dyDescent="0.25">
      <c r="B10" s="31" t="s">
        <v>98</v>
      </c>
      <c r="C10" s="28"/>
      <c r="D10" s="28"/>
      <c r="E10" s="28">
        <v>15000</v>
      </c>
      <c r="F10" s="28"/>
      <c r="G10" s="7">
        <f t="shared" si="0"/>
        <v>1500</v>
      </c>
      <c r="H10" s="7">
        <f t="shared" si="1"/>
        <v>16500</v>
      </c>
      <c r="I10" s="2">
        <f t="shared" si="2"/>
        <v>13200</v>
      </c>
      <c r="J10" s="2">
        <f t="shared" si="3"/>
        <v>3300</v>
      </c>
      <c r="K10" s="2"/>
      <c r="L10" s="2"/>
      <c r="M10" s="2">
        <f>H10</f>
        <v>16500</v>
      </c>
      <c r="N10" s="2"/>
      <c r="O10" s="2"/>
      <c r="P10" s="2"/>
      <c r="Q10" s="2"/>
      <c r="R10" s="2"/>
      <c r="S10" s="38"/>
      <c r="T10" s="38"/>
      <c r="U10" s="2"/>
      <c r="V10" s="2"/>
      <c r="W10" s="2"/>
    </row>
    <row r="11" spans="1:23" x14ac:dyDescent="0.25">
      <c r="B11" s="31" t="s">
        <v>99</v>
      </c>
      <c r="C11" s="28"/>
      <c r="D11" s="28"/>
      <c r="E11" s="28">
        <v>7500</v>
      </c>
      <c r="F11" s="28"/>
      <c r="G11" s="7">
        <f t="shared" si="0"/>
        <v>750</v>
      </c>
      <c r="H11" s="7">
        <f t="shared" si="1"/>
        <v>8250</v>
      </c>
      <c r="I11" s="2">
        <f t="shared" si="2"/>
        <v>6600</v>
      </c>
      <c r="J11" s="2">
        <f t="shared" si="3"/>
        <v>1650</v>
      </c>
      <c r="K11" s="2"/>
      <c r="L11" s="2"/>
      <c r="M11" s="2"/>
      <c r="N11" s="2"/>
      <c r="O11" s="2">
        <f>H11</f>
        <v>8250</v>
      </c>
      <c r="P11" s="2"/>
      <c r="Q11" s="2"/>
      <c r="R11" s="2"/>
      <c r="S11" s="38"/>
      <c r="T11" s="38"/>
      <c r="U11" s="2"/>
      <c r="V11" s="2"/>
      <c r="W11" s="2"/>
    </row>
    <row r="12" spans="1:23" x14ac:dyDescent="0.25">
      <c r="B12" s="31" t="s">
        <v>100</v>
      </c>
      <c r="C12" s="28"/>
      <c r="D12" s="28"/>
      <c r="E12" s="28">
        <v>5000</v>
      </c>
      <c r="F12" s="28"/>
      <c r="G12" s="7">
        <f t="shared" si="0"/>
        <v>500</v>
      </c>
      <c r="H12" s="7">
        <f t="shared" si="1"/>
        <v>5500</v>
      </c>
      <c r="I12" s="2">
        <f t="shared" si="2"/>
        <v>4400</v>
      </c>
      <c r="J12" s="2">
        <f t="shared" si="3"/>
        <v>1100</v>
      </c>
      <c r="K12" s="2"/>
      <c r="L12" s="2"/>
      <c r="M12" s="2"/>
      <c r="N12" s="2"/>
      <c r="O12" s="2"/>
      <c r="P12" s="2">
        <f>H12</f>
        <v>5500</v>
      </c>
      <c r="Q12" s="2"/>
      <c r="R12" s="2"/>
      <c r="S12" s="38"/>
      <c r="T12" s="38"/>
      <c r="U12" s="2"/>
      <c r="V12" s="2"/>
      <c r="W12" s="2"/>
    </row>
    <row r="13" spans="1:23" x14ac:dyDescent="0.25">
      <c r="B13" s="31" t="s">
        <v>101</v>
      </c>
      <c r="C13" s="28"/>
      <c r="D13" s="28"/>
      <c r="E13" s="28">
        <v>12000</v>
      </c>
      <c r="F13" s="28"/>
      <c r="G13" s="7">
        <f t="shared" si="0"/>
        <v>1200</v>
      </c>
      <c r="H13" s="7">
        <f t="shared" si="1"/>
        <v>13200</v>
      </c>
      <c r="I13" s="2">
        <f t="shared" si="2"/>
        <v>10560</v>
      </c>
      <c r="J13" s="2">
        <f t="shared" si="3"/>
        <v>2640</v>
      </c>
      <c r="K13" s="2"/>
      <c r="L13" s="2"/>
      <c r="M13" s="2"/>
      <c r="N13" s="2">
        <f>H13</f>
        <v>13200</v>
      </c>
      <c r="O13" s="2"/>
      <c r="P13" s="2"/>
      <c r="Q13" s="2"/>
      <c r="R13" s="2"/>
      <c r="S13" s="38"/>
      <c r="T13" s="38"/>
      <c r="U13" s="2"/>
      <c r="V13" s="2"/>
      <c r="W13" s="2"/>
    </row>
    <row r="14" spans="1:23" x14ac:dyDescent="0.25">
      <c r="B14" s="31" t="s">
        <v>102</v>
      </c>
      <c r="C14" s="28"/>
      <c r="D14" s="28"/>
      <c r="E14" s="28">
        <v>12000</v>
      </c>
      <c r="F14" s="28"/>
      <c r="G14" s="7">
        <f t="shared" si="0"/>
        <v>1200</v>
      </c>
      <c r="H14" s="7">
        <f t="shared" si="1"/>
        <v>13200</v>
      </c>
      <c r="I14" s="2">
        <f t="shared" si="2"/>
        <v>10560</v>
      </c>
      <c r="J14" s="2">
        <f t="shared" si="3"/>
        <v>2640</v>
      </c>
      <c r="K14" s="2"/>
      <c r="L14" s="2"/>
      <c r="M14" s="2"/>
      <c r="N14" s="2"/>
      <c r="O14" s="2"/>
      <c r="P14" s="2"/>
      <c r="Q14" s="2">
        <f>H14</f>
        <v>13200</v>
      </c>
      <c r="R14" s="2"/>
      <c r="S14" s="38"/>
      <c r="T14" s="38"/>
      <c r="U14" s="2"/>
      <c r="V14" s="2"/>
      <c r="W14" s="2"/>
    </row>
    <row r="15" spans="1:23" x14ac:dyDescent="0.25">
      <c r="B15" s="31" t="s">
        <v>103</v>
      </c>
      <c r="C15" s="28"/>
      <c r="D15" s="28"/>
      <c r="E15" s="28">
        <v>12000</v>
      </c>
      <c r="F15" s="28"/>
      <c r="G15" s="7">
        <f t="shared" si="0"/>
        <v>1200</v>
      </c>
      <c r="H15" s="7">
        <f t="shared" si="1"/>
        <v>13200</v>
      </c>
      <c r="I15" s="2">
        <f t="shared" si="2"/>
        <v>10560</v>
      </c>
      <c r="J15" s="2">
        <f t="shared" si="3"/>
        <v>2640</v>
      </c>
      <c r="K15" s="2"/>
      <c r="L15" s="2"/>
      <c r="M15" s="2"/>
      <c r="N15" s="2"/>
      <c r="O15" s="2"/>
      <c r="P15" s="2"/>
      <c r="Q15" s="2"/>
      <c r="R15" s="2">
        <f>H15</f>
        <v>13200</v>
      </c>
      <c r="S15" s="38"/>
      <c r="T15" s="38"/>
      <c r="U15" s="2"/>
      <c r="V15" s="2"/>
      <c r="W15" s="2"/>
    </row>
    <row r="16" spans="1:23" x14ac:dyDescent="0.25">
      <c r="B16" s="31" t="s">
        <v>104</v>
      </c>
      <c r="C16" s="28"/>
      <c r="D16" s="28"/>
      <c r="E16" s="28">
        <v>12800</v>
      </c>
      <c r="F16" s="28" t="s">
        <v>105</v>
      </c>
      <c r="G16" s="7">
        <f t="shared" si="0"/>
        <v>1280</v>
      </c>
      <c r="H16" s="7">
        <f t="shared" si="1"/>
        <v>14080</v>
      </c>
      <c r="I16" s="2">
        <f t="shared" si="2"/>
        <v>11264</v>
      </c>
      <c r="J16" s="2">
        <f t="shared" si="3"/>
        <v>2816</v>
      </c>
      <c r="K16" s="2">
        <f>H16</f>
        <v>14080</v>
      </c>
      <c r="L16" s="2"/>
      <c r="M16" s="2"/>
      <c r="N16" s="2"/>
      <c r="O16" s="2"/>
      <c r="P16" s="2"/>
      <c r="Q16" s="2"/>
      <c r="R16" s="2"/>
      <c r="S16" s="38">
        <f>K16/100</f>
        <v>140.80000000000001</v>
      </c>
      <c r="T16" s="2">
        <f>S16*100</f>
        <v>14080.000000000002</v>
      </c>
      <c r="U16" s="2"/>
      <c r="V16" s="2"/>
      <c r="W16" s="2"/>
    </row>
    <row r="17" spans="1:23" x14ac:dyDescent="0.25">
      <c r="A17" t="s">
        <v>106</v>
      </c>
      <c r="B17" s="31" t="s">
        <v>29</v>
      </c>
      <c r="C17" s="28">
        <f>4*100*4*11</f>
        <v>17600</v>
      </c>
      <c r="D17" s="28">
        <v>17600</v>
      </c>
      <c r="E17" s="28">
        <f>D17</f>
        <v>17600</v>
      </c>
      <c r="F17" s="28" t="s">
        <v>37</v>
      </c>
      <c r="G17" s="7">
        <f t="shared" ref="G17:G32" si="4">D17*0.1</f>
        <v>1760</v>
      </c>
      <c r="H17" s="7">
        <f t="shared" ref="H17:H32" si="5">D17+G17</f>
        <v>19360</v>
      </c>
      <c r="I17" s="2">
        <f>H17*0.8</f>
        <v>15488</v>
      </c>
      <c r="J17" s="2">
        <f>H17*0.2</f>
        <v>3872</v>
      </c>
      <c r="K17" s="2"/>
      <c r="L17" s="2"/>
      <c r="M17" s="2">
        <f>H17</f>
        <v>19360</v>
      </c>
      <c r="N17" s="2"/>
      <c r="O17" s="2"/>
      <c r="P17" s="2"/>
      <c r="Q17" s="2"/>
      <c r="R17" s="2"/>
      <c r="S17" s="38"/>
      <c r="T17" s="38"/>
      <c r="U17" s="2"/>
      <c r="V17" s="2"/>
      <c r="W17" s="2"/>
    </row>
    <row r="18" spans="1:23" x14ac:dyDescent="0.25">
      <c r="A18" t="s">
        <v>107</v>
      </c>
      <c r="B18" s="31" t="s">
        <v>108</v>
      </c>
      <c r="C18" s="28">
        <f>11*5000 + 11* 6 *2*150+11*2*250</f>
        <v>80300</v>
      </c>
      <c r="D18" s="28">
        <v>0</v>
      </c>
      <c r="E18" s="28"/>
      <c r="F18" s="28"/>
      <c r="G18" s="7"/>
      <c r="H18" s="7"/>
      <c r="I18" s="2"/>
      <c r="J18" s="2"/>
      <c r="K18" s="2"/>
      <c r="L18" s="2"/>
      <c r="M18" s="2"/>
      <c r="N18" s="2"/>
      <c r="O18" s="2"/>
      <c r="P18" s="2"/>
      <c r="Q18" s="2"/>
      <c r="R18" s="2"/>
      <c r="S18" s="38"/>
      <c r="T18" s="38"/>
      <c r="U18" s="2"/>
      <c r="V18" s="2"/>
      <c r="W18" s="2"/>
    </row>
    <row r="19" spans="1:23" x14ac:dyDescent="0.25">
      <c r="A19" t="s">
        <v>109</v>
      </c>
      <c r="B19" s="31" t="s">
        <v>110</v>
      </c>
      <c r="C19" s="2">
        <f xml:space="preserve"> 4*11*2*3*200</f>
        <v>52800</v>
      </c>
      <c r="D19" s="28">
        <f>SUM(E20:E24)</f>
        <v>50400</v>
      </c>
      <c r="E19" s="28"/>
      <c r="F19" s="39"/>
      <c r="G19" s="7"/>
      <c r="H19" s="7"/>
      <c r="I19" s="2"/>
      <c r="J19" s="2"/>
      <c r="K19" s="2"/>
      <c r="L19" s="2"/>
      <c r="M19" s="2"/>
      <c r="N19" s="2"/>
      <c r="O19" s="2"/>
      <c r="P19" s="2"/>
      <c r="Q19" s="2"/>
      <c r="R19" s="2"/>
      <c r="S19" s="38"/>
      <c r="T19" s="38"/>
      <c r="V19" s="2"/>
      <c r="W19" s="2"/>
    </row>
    <row r="20" spans="1:23" x14ac:dyDescent="0.25">
      <c r="B20" s="31" t="s">
        <v>111</v>
      </c>
      <c r="C20" s="2"/>
      <c r="D20" s="28"/>
      <c r="E20" s="28">
        <v>20000</v>
      </c>
      <c r="F20" s="78" t="s">
        <v>160</v>
      </c>
      <c r="G20" s="7">
        <f>E20*0.1</f>
        <v>2000</v>
      </c>
      <c r="H20" s="7">
        <f>E20+G20</f>
        <v>22000</v>
      </c>
      <c r="I20" s="2">
        <f>H20*0.8</f>
        <v>17600</v>
      </c>
      <c r="J20" s="2">
        <f>H20*0.2</f>
        <v>4400</v>
      </c>
      <c r="K20" s="2"/>
      <c r="L20" s="2"/>
      <c r="M20" s="2"/>
      <c r="N20" s="2">
        <f>H20</f>
        <v>22000</v>
      </c>
      <c r="O20" s="2"/>
      <c r="P20" s="2"/>
      <c r="Q20" s="2"/>
      <c r="R20" s="2"/>
      <c r="S20" s="38"/>
      <c r="T20" s="38"/>
      <c r="V20" s="2"/>
      <c r="W20" s="2"/>
    </row>
    <row r="21" spans="1:23" x14ac:dyDescent="0.25">
      <c r="B21" s="31" t="s">
        <v>112</v>
      </c>
      <c r="C21" s="2"/>
      <c r="D21" s="28"/>
      <c r="E21" s="28">
        <v>15000</v>
      </c>
      <c r="F21" s="78" t="s">
        <v>37</v>
      </c>
      <c r="G21" s="7">
        <f>E21*0.1</f>
        <v>1500</v>
      </c>
      <c r="H21" s="7">
        <f>E21+G21</f>
        <v>16500</v>
      </c>
      <c r="I21" s="2">
        <f>H21*0.8</f>
        <v>13200</v>
      </c>
      <c r="J21" s="2">
        <f>H21*0.2</f>
        <v>3300</v>
      </c>
      <c r="K21" s="2"/>
      <c r="L21" s="2"/>
      <c r="M21" s="2">
        <f>H21</f>
        <v>16500</v>
      </c>
      <c r="N21" s="2"/>
      <c r="O21" s="2"/>
      <c r="P21" s="2"/>
      <c r="Q21" s="2"/>
      <c r="R21" s="2"/>
      <c r="S21" s="38"/>
      <c r="T21" s="38"/>
      <c r="V21" s="2"/>
      <c r="W21" s="2"/>
    </row>
    <row r="22" spans="1:23" x14ac:dyDescent="0.25">
      <c r="B22" s="31" t="s">
        <v>113</v>
      </c>
      <c r="C22" s="2"/>
      <c r="D22" s="28"/>
      <c r="E22" s="28">
        <v>6400</v>
      </c>
      <c r="F22" s="39" t="s">
        <v>114</v>
      </c>
      <c r="G22" s="7">
        <f t="shared" ref="G22:G24" si="6">E22*0.1</f>
        <v>640</v>
      </c>
      <c r="H22" s="7">
        <f t="shared" ref="H22:H24" si="7">E22+G22</f>
        <v>7040</v>
      </c>
      <c r="I22" s="2">
        <f t="shared" ref="I22:I24" si="8">H22*0.8</f>
        <v>5632</v>
      </c>
      <c r="J22" s="2">
        <f t="shared" ref="J22:J24" si="9">H22*0.2</f>
        <v>1408</v>
      </c>
      <c r="K22" s="2"/>
      <c r="L22" s="2">
        <f>H22</f>
        <v>7040</v>
      </c>
      <c r="M22" s="2"/>
      <c r="N22" s="2"/>
      <c r="O22" s="2"/>
      <c r="P22" s="2"/>
      <c r="Q22" s="2"/>
      <c r="R22" s="2"/>
      <c r="S22" s="38"/>
      <c r="T22" s="2"/>
      <c r="V22" s="2"/>
      <c r="W22" s="2"/>
    </row>
    <row r="23" spans="1:23" x14ac:dyDescent="0.25">
      <c r="B23" s="31" t="s">
        <v>115</v>
      </c>
      <c r="C23" s="2"/>
      <c r="D23" s="28"/>
      <c r="E23" s="28">
        <v>4000</v>
      </c>
      <c r="F23" s="39" t="s">
        <v>116</v>
      </c>
      <c r="G23" s="7">
        <f t="shared" si="6"/>
        <v>400</v>
      </c>
      <c r="H23" s="7">
        <f t="shared" si="7"/>
        <v>4400</v>
      </c>
      <c r="I23" s="2">
        <f t="shared" si="8"/>
        <v>3520</v>
      </c>
      <c r="J23" s="2">
        <f t="shared" si="9"/>
        <v>880</v>
      </c>
      <c r="K23" s="2"/>
      <c r="L23" s="2">
        <f>H23</f>
        <v>4400</v>
      </c>
      <c r="M23" s="2"/>
      <c r="N23" s="2"/>
      <c r="O23" s="2"/>
      <c r="P23" s="2"/>
      <c r="Q23" s="2"/>
      <c r="R23" s="2"/>
      <c r="S23" s="38"/>
      <c r="T23" s="2"/>
      <c r="V23" s="2"/>
      <c r="W23" s="2"/>
    </row>
    <row r="24" spans="1:23" x14ac:dyDescent="0.25">
      <c r="B24" s="31" t="s">
        <v>117</v>
      </c>
      <c r="C24" s="2"/>
      <c r="D24" s="28"/>
      <c r="E24" s="28">
        <v>5000</v>
      </c>
      <c r="F24" s="39" t="s">
        <v>118</v>
      </c>
      <c r="G24" s="7">
        <f t="shared" si="6"/>
        <v>500</v>
      </c>
      <c r="H24" s="7">
        <f t="shared" si="7"/>
        <v>5500</v>
      </c>
      <c r="I24" s="2">
        <f t="shared" si="8"/>
        <v>4400</v>
      </c>
      <c r="J24" s="2">
        <f t="shared" si="9"/>
        <v>1100</v>
      </c>
      <c r="K24" s="2"/>
      <c r="L24" s="2"/>
      <c r="M24" s="2"/>
      <c r="N24" s="2"/>
      <c r="O24" s="2"/>
      <c r="P24" s="2"/>
      <c r="Q24" s="2">
        <f>H24</f>
        <v>5500</v>
      </c>
      <c r="R24" s="2"/>
      <c r="S24" s="38"/>
      <c r="T24" s="2"/>
      <c r="V24" s="2"/>
      <c r="W24" s="2"/>
    </row>
    <row r="25" spans="1:23" x14ac:dyDescent="0.25">
      <c r="A25" t="s">
        <v>119</v>
      </c>
      <c r="B25" s="31" t="s">
        <v>32</v>
      </c>
      <c r="C25" s="28">
        <f>36*100*11+4*11*8*100</f>
        <v>74800</v>
      </c>
      <c r="D25" s="28">
        <v>74800</v>
      </c>
      <c r="E25" s="28">
        <f>D25</f>
        <v>74800</v>
      </c>
      <c r="F25" s="78" t="s">
        <v>37</v>
      </c>
      <c r="G25" s="7">
        <f t="shared" si="4"/>
        <v>7480</v>
      </c>
      <c r="H25" s="7">
        <f t="shared" si="5"/>
        <v>82280</v>
      </c>
      <c r="I25" s="2">
        <f>H25*0.8</f>
        <v>65824</v>
      </c>
      <c r="J25" s="2">
        <f>H25*0.2</f>
        <v>16456</v>
      </c>
      <c r="K25" s="2"/>
      <c r="L25" s="2"/>
      <c r="M25" s="2">
        <f>H25</f>
        <v>82280</v>
      </c>
      <c r="N25" s="2"/>
      <c r="O25" s="2"/>
      <c r="P25" s="2"/>
      <c r="Q25" s="2"/>
      <c r="R25" s="2"/>
      <c r="S25" s="38"/>
      <c r="T25" s="38"/>
      <c r="V25" s="2"/>
      <c r="W25" s="2"/>
    </row>
    <row r="26" spans="1:23" x14ac:dyDescent="0.25">
      <c r="A26" t="s">
        <v>120</v>
      </c>
      <c r="B26" s="31" t="s">
        <v>121</v>
      </c>
      <c r="C26" s="2">
        <f>4*4*11*100+300*4*11</f>
        <v>30800</v>
      </c>
      <c r="D26" s="28">
        <f>SUM(E27:E31)</f>
        <v>30600</v>
      </c>
      <c r="E26" s="28"/>
      <c r="F26" s="39"/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38"/>
      <c r="T26" s="38"/>
      <c r="V26" s="2"/>
      <c r="W26" s="2"/>
    </row>
    <row r="27" spans="1:23" x14ac:dyDescent="0.25">
      <c r="B27" s="31" t="s">
        <v>122</v>
      </c>
      <c r="C27" s="2"/>
      <c r="D27" s="28"/>
      <c r="E27" s="28">
        <v>3600</v>
      </c>
      <c r="F27" s="39" t="s">
        <v>123</v>
      </c>
      <c r="G27" s="7">
        <f t="shared" ref="G27:G31" si="10">E27*0.1</f>
        <v>360</v>
      </c>
      <c r="H27" s="7">
        <f t="shared" ref="H27:H31" si="11">E27+G27</f>
        <v>3960</v>
      </c>
      <c r="I27" s="2">
        <f t="shared" ref="I27:I31" si="12">H27*0.8</f>
        <v>3168</v>
      </c>
      <c r="J27" s="2">
        <f t="shared" ref="J27:J31" si="13">H27*0.2</f>
        <v>792</v>
      </c>
      <c r="K27" s="2">
        <f>H27</f>
        <v>3960</v>
      </c>
      <c r="L27" s="2"/>
      <c r="M27" s="2"/>
      <c r="N27" s="2"/>
      <c r="O27" s="2"/>
      <c r="P27" s="2"/>
      <c r="Q27" s="2"/>
      <c r="R27" s="2"/>
      <c r="S27" s="38">
        <f t="shared" ref="S27" si="14">K27/100</f>
        <v>39.6</v>
      </c>
      <c r="T27" s="2">
        <f>S27*100</f>
        <v>3960</v>
      </c>
      <c r="V27" s="2"/>
      <c r="W27" s="2"/>
    </row>
    <row r="28" spans="1:23" x14ac:dyDescent="0.25">
      <c r="B28" s="31" t="s">
        <v>37</v>
      </c>
      <c r="C28" s="2"/>
      <c r="D28" s="28"/>
      <c r="E28" s="28">
        <v>13000</v>
      </c>
      <c r="F28" s="39" t="s">
        <v>124</v>
      </c>
      <c r="G28" s="7">
        <f t="shared" si="10"/>
        <v>1300</v>
      </c>
      <c r="H28" s="7">
        <f t="shared" si="11"/>
        <v>14300</v>
      </c>
      <c r="I28" s="2">
        <f t="shared" si="12"/>
        <v>11440</v>
      </c>
      <c r="J28" s="2">
        <f t="shared" si="13"/>
        <v>2860</v>
      </c>
      <c r="K28" s="2"/>
      <c r="L28" s="2"/>
      <c r="M28" s="2">
        <f>H28</f>
        <v>14300</v>
      </c>
      <c r="N28" s="2"/>
      <c r="O28" s="2"/>
      <c r="P28" s="2"/>
      <c r="Q28" s="2"/>
      <c r="R28" s="2"/>
      <c r="S28" s="38"/>
      <c r="T28" s="38"/>
      <c r="V28" s="2"/>
      <c r="W28" s="2"/>
    </row>
    <row r="29" spans="1:23" x14ac:dyDescent="0.25">
      <c r="B29" s="31" t="s">
        <v>125</v>
      </c>
      <c r="C29" s="2"/>
      <c r="D29" s="28"/>
      <c r="E29" s="28">
        <v>10000</v>
      </c>
      <c r="F29" s="39" t="s">
        <v>124</v>
      </c>
      <c r="G29" s="7">
        <f>E29*0.1</f>
        <v>1000</v>
      </c>
      <c r="H29" s="7">
        <f>E29+G29</f>
        <v>11000</v>
      </c>
      <c r="I29" s="2">
        <f>H29*0.8</f>
        <v>8800</v>
      </c>
      <c r="J29" s="2">
        <f>H29*0.2</f>
        <v>2200</v>
      </c>
      <c r="K29" s="2"/>
      <c r="L29" s="2"/>
      <c r="M29" s="2"/>
      <c r="N29" s="2">
        <f>H29</f>
        <v>11000</v>
      </c>
      <c r="O29" s="2"/>
      <c r="P29" s="2"/>
      <c r="Q29" s="2"/>
      <c r="R29" s="2"/>
      <c r="S29" s="38"/>
      <c r="T29" s="38"/>
      <c r="V29" s="2"/>
      <c r="W29" s="2"/>
    </row>
    <row r="30" spans="1:23" x14ac:dyDescent="0.25">
      <c r="B30" s="31" t="s">
        <v>126</v>
      </c>
      <c r="C30" s="2"/>
      <c r="D30" s="28"/>
      <c r="E30" s="28">
        <v>2000</v>
      </c>
      <c r="F30" s="39" t="s">
        <v>127</v>
      </c>
      <c r="G30" s="7">
        <f t="shared" si="10"/>
        <v>200</v>
      </c>
      <c r="H30" s="7">
        <f t="shared" si="11"/>
        <v>2200</v>
      </c>
      <c r="I30" s="2">
        <f t="shared" si="12"/>
        <v>1760</v>
      </c>
      <c r="J30" s="2">
        <f t="shared" si="13"/>
        <v>440</v>
      </c>
      <c r="K30" s="2"/>
      <c r="L30" s="2"/>
      <c r="M30" s="2"/>
      <c r="N30" s="2"/>
      <c r="O30" s="2">
        <f>H30</f>
        <v>2200</v>
      </c>
      <c r="P30" s="2"/>
      <c r="Q30" s="2"/>
      <c r="R30" s="2"/>
      <c r="S30" s="38"/>
      <c r="T30" s="38"/>
      <c r="V30" s="2"/>
      <c r="W30" s="2"/>
    </row>
    <row r="31" spans="1:23" x14ac:dyDescent="0.25">
      <c r="B31" s="31" t="s">
        <v>128</v>
      </c>
      <c r="C31" s="2"/>
      <c r="D31" s="28"/>
      <c r="E31" s="28">
        <v>2000</v>
      </c>
      <c r="F31" s="39" t="s">
        <v>127</v>
      </c>
      <c r="G31" s="7">
        <f t="shared" si="10"/>
        <v>200</v>
      </c>
      <c r="H31" s="7">
        <f t="shared" si="11"/>
        <v>2200</v>
      </c>
      <c r="I31" s="2">
        <f t="shared" si="12"/>
        <v>1760</v>
      </c>
      <c r="J31" s="2">
        <f t="shared" si="13"/>
        <v>440</v>
      </c>
      <c r="K31" s="2"/>
      <c r="L31" s="2"/>
      <c r="M31" s="2"/>
      <c r="N31" s="2"/>
      <c r="O31" s="2"/>
      <c r="P31" s="2">
        <f>H31</f>
        <v>2200</v>
      </c>
      <c r="Q31" s="2"/>
      <c r="R31" s="2"/>
      <c r="S31" s="38"/>
      <c r="T31" s="38"/>
      <c r="V31" s="2"/>
      <c r="W31" s="2"/>
    </row>
    <row r="32" spans="1:23" x14ac:dyDescent="0.25">
      <c r="A32" t="s">
        <v>129</v>
      </c>
      <c r="B32" s="31" t="s">
        <v>31</v>
      </c>
      <c r="C32" s="2">
        <f>36*100+800</f>
        <v>4400</v>
      </c>
      <c r="D32" s="28">
        <v>4400</v>
      </c>
      <c r="E32" s="28">
        <f>D32</f>
        <v>4400</v>
      </c>
      <c r="F32" s="78" t="s">
        <v>159</v>
      </c>
      <c r="G32" s="7">
        <f t="shared" si="4"/>
        <v>440</v>
      </c>
      <c r="H32" s="7">
        <f t="shared" si="5"/>
        <v>4840</v>
      </c>
      <c r="I32" s="2">
        <f>H32*0.8</f>
        <v>3872</v>
      </c>
      <c r="J32" s="2">
        <f>H32*0.2</f>
        <v>968</v>
      </c>
      <c r="K32" s="2"/>
      <c r="L32" s="2"/>
      <c r="M32" s="2">
        <f>H32</f>
        <v>4840</v>
      </c>
      <c r="N32" s="2"/>
      <c r="O32" s="2"/>
      <c r="P32" s="2"/>
      <c r="Q32" s="2"/>
      <c r="R32" s="2"/>
      <c r="S32" s="38"/>
      <c r="T32" s="38"/>
      <c r="V32" s="2"/>
      <c r="W32" s="2"/>
    </row>
    <row r="33" spans="2:23" x14ac:dyDescent="0.25">
      <c r="B33" s="31"/>
      <c r="C33" s="2">
        <f>SUM(C3:C32)</f>
        <v>399700</v>
      </c>
      <c r="D33" s="2">
        <f>SUM(D3:D32)</f>
        <v>319700</v>
      </c>
      <c r="E33" s="2">
        <f>SUM(E3:E32)</f>
        <v>319700</v>
      </c>
      <c r="F33" s="2"/>
      <c r="G33" s="2">
        <f t="shared" ref="G33:T33" si="15">SUM(G3:G32)</f>
        <v>31970</v>
      </c>
      <c r="H33" s="2">
        <f t="shared" si="15"/>
        <v>351670</v>
      </c>
      <c r="I33" s="2">
        <f t="shared" si="15"/>
        <v>281336</v>
      </c>
      <c r="J33" s="40">
        <f t="shared" si="15"/>
        <v>70334</v>
      </c>
      <c r="K33" s="2">
        <f t="shared" si="15"/>
        <v>70400</v>
      </c>
      <c r="L33" s="2">
        <f t="shared" si="15"/>
        <v>11440</v>
      </c>
      <c r="M33" s="2">
        <f t="shared" si="15"/>
        <v>169620</v>
      </c>
      <c r="N33" s="2">
        <f t="shared" si="15"/>
        <v>50160</v>
      </c>
      <c r="O33" s="2">
        <f t="shared" si="15"/>
        <v>10450</v>
      </c>
      <c r="P33" s="2">
        <f t="shared" si="15"/>
        <v>7700</v>
      </c>
      <c r="Q33" s="2">
        <f t="shared" si="15"/>
        <v>18700</v>
      </c>
      <c r="R33" s="2">
        <f t="shared" si="15"/>
        <v>13200</v>
      </c>
      <c r="S33" s="41">
        <f t="shared" si="15"/>
        <v>704.00000000000011</v>
      </c>
      <c r="T33" s="40">
        <f t="shared" si="15"/>
        <v>70400</v>
      </c>
      <c r="V33" s="2"/>
      <c r="W33" s="2"/>
    </row>
    <row r="34" spans="2:23" x14ac:dyDescent="0.25">
      <c r="N34" s="2"/>
      <c r="R34" s="2"/>
      <c r="S34" s="38"/>
      <c r="T34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BC + Towns</vt:lpstr>
      <vt:lpstr>RedCliff</vt:lpstr>
      <vt:lpstr>Area 5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Bailey</dc:creator>
  <cp:lastModifiedBy>William Bailey</cp:lastModifiedBy>
  <dcterms:created xsi:type="dcterms:W3CDTF">2023-01-02T19:50:18Z</dcterms:created>
  <dcterms:modified xsi:type="dcterms:W3CDTF">2023-07-20T14:22:15Z</dcterms:modified>
</cp:coreProperties>
</file>