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9d7c92027400a3/Documents/Bayfield County/Energy Tracking/Energy Tracking Spreadsheets/"/>
    </mc:Choice>
  </mc:AlternateContent>
  <xr:revisionPtr revIDLastSave="44" documentId="8_{67C93DE9-E31C-43AC-81DF-2B010F2EBCD0}" xr6:coauthVersionLast="47" xr6:coauthVersionMax="47" xr10:uidLastSave="{F837D55B-0948-4EEC-BC26-209A9EE41EC8}"/>
  <bookViews>
    <workbookView xWindow="-105" yWindow="0" windowWidth="14610" windowHeight="15585" activeTab="1" xr2:uid="{3B7112B4-C0E0-4FEB-A01F-BA6C1292BCE5}"/>
  </bookViews>
  <sheets>
    <sheet name="Gasoline &amp; Diesel" sheetId="1" r:id="rId1"/>
    <sheet name="CNG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D26" i="2"/>
  <c r="B15" i="2"/>
  <c r="C26" i="2"/>
  <c r="F3" i="1"/>
  <c r="B26" i="2"/>
  <c r="B5" i="2"/>
  <c r="B13" i="2"/>
  <c r="B12" i="2"/>
  <c r="B17" i="2"/>
  <c r="C35" i="1"/>
  <c r="C34" i="1"/>
  <c r="B34" i="1"/>
  <c r="B6" i="2" l="1"/>
  <c r="E26" i="2" s="1"/>
  <c r="F26" i="2" s="1"/>
  <c r="G26" i="2" s="1"/>
  <c r="B27" i="1"/>
  <c r="B25" i="1"/>
  <c r="B24" i="1"/>
  <c r="B23" i="1"/>
  <c r="E18" i="2"/>
  <c r="E17" i="2"/>
  <c r="D4" i="2"/>
  <c r="B4" i="2"/>
  <c r="F35" i="1"/>
  <c r="F34" i="1"/>
  <c r="D32" i="1"/>
  <c r="D23" i="2" l="1"/>
  <c r="D18" i="2"/>
  <c r="F18" i="2" s="1"/>
  <c r="D17" i="2"/>
  <c r="F17" i="2" s="1"/>
  <c r="B10" i="1"/>
  <c r="C18" i="2"/>
  <c r="G27" i="1"/>
  <c r="G25" i="1"/>
  <c r="G24" i="1"/>
  <c r="G23" i="1"/>
  <c r="C27" i="1"/>
  <c r="C25" i="1"/>
  <c r="C9" i="1"/>
  <c r="B9" i="1"/>
  <c r="D4" i="1"/>
  <c r="C7" i="1" s="1"/>
  <c r="C24" i="1" s="1"/>
  <c r="D3" i="1"/>
  <c r="G28" i="1" l="1"/>
  <c r="J26" i="1"/>
  <c r="H18" i="2"/>
  <c r="G18" i="2"/>
  <c r="E23" i="1"/>
  <c r="H23" i="1" s="1"/>
  <c r="D23" i="1"/>
  <c r="E25" i="1"/>
  <c r="F25" i="1" s="1"/>
  <c r="D25" i="1"/>
  <c r="E27" i="1"/>
  <c r="H27" i="1" s="1"/>
  <c r="D27" i="1"/>
  <c r="E24" i="1"/>
  <c r="H24" i="1" s="1"/>
  <c r="I24" i="1" s="1"/>
  <c r="D24" i="1"/>
  <c r="B28" i="1"/>
  <c r="C17" i="2"/>
  <c r="H17" i="2" s="1"/>
  <c r="I27" i="1"/>
  <c r="H25" i="1"/>
  <c r="I25" i="1" s="1"/>
  <c r="C6" i="1"/>
  <c r="C10" i="1" s="1"/>
  <c r="B11" i="1"/>
  <c r="I23" i="1" l="1"/>
  <c r="K26" i="1"/>
  <c r="L26" i="1" s="1"/>
  <c r="F27" i="1"/>
  <c r="G17" i="2"/>
  <c r="D26" i="1"/>
  <c r="D28" i="1" s="1"/>
  <c r="E28" i="1"/>
  <c r="F24" i="1"/>
  <c r="H28" i="1"/>
  <c r="I28" i="1" s="1"/>
  <c r="C11" i="1"/>
  <c r="C23" i="1"/>
  <c r="F23" i="1" l="1"/>
  <c r="C28" i="1"/>
</calcChain>
</file>

<file path=xl/sharedStrings.xml><?xml version="1.0" encoding="utf-8"?>
<sst xmlns="http://schemas.openxmlformats.org/spreadsheetml/2006/main" count="102" uniqueCount="93">
  <si>
    <t>Highway Fleet</t>
  </si>
  <si>
    <t>diesel fuel</t>
  </si>
  <si>
    <t>unleaded fuel</t>
  </si>
  <si>
    <t>County Fleet &amp; Squad</t>
  </si>
  <si>
    <t>2021 $</t>
  </si>
  <si>
    <t>2021 Price/gallon</t>
  </si>
  <si>
    <t>diesel total</t>
  </si>
  <si>
    <t>unleaded total</t>
  </si>
  <si>
    <t>2021 gallons used</t>
  </si>
  <si>
    <t>CNG (gasoline gal equiv)</t>
  </si>
  <si>
    <t>CNG therms</t>
  </si>
  <si>
    <t>Total</t>
  </si>
  <si>
    <t>Conv. Factor</t>
  </si>
  <si>
    <t>unleaded fuel - fleet</t>
  </si>
  <si>
    <t>unleaded fuel - squad</t>
  </si>
  <si>
    <t>County fleet = sedans</t>
  </si>
  <si>
    <t>Squad = SUV</t>
  </si>
  <si>
    <t>Highway gasoline = Pickup</t>
  </si>
  <si>
    <t>Highway diesel = Large truck</t>
  </si>
  <si>
    <t>Cost of electricity - off peak $/kWh</t>
  </si>
  <si>
    <t>2022 cost of fuel</t>
  </si>
  <si>
    <t>2021 cost of fuel</t>
  </si>
  <si>
    <t>2022 cost of electricity</t>
  </si>
  <si>
    <t>2021 cost of electricity</t>
  </si>
  <si>
    <t>ICE MPG - sedan</t>
  </si>
  <si>
    <t>ICE MPG - SUV</t>
  </si>
  <si>
    <t>ICE MPG - Pickup</t>
  </si>
  <si>
    <t>ICE MGP - Large truck (diesel)</t>
  </si>
  <si>
    <t>2022 Est. Price/gallon</t>
  </si>
  <si>
    <t>kWh/mile</t>
  </si>
  <si>
    <t>Miles/kWh</t>
  </si>
  <si>
    <t>EV -sedan</t>
  </si>
  <si>
    <t>EV - SUV</t>
  </si>
  <si>
    <t>EV - Pickup</t>
  </si>
  <si>
    <t>EV - Large truck</t>
  </si>
  <si>
    <t>2021 EV Savings %</t>
  </si>
  <si>
    <t>2022 EV Savings %</t>
  </si>
  <si>
    <t>Example:  ICE sedan at 30mpg and $3.60/gallon gasoline costs $0.12 per mile traveled ($3.60/30).  If off-peak electricity is used at $0.056/kWh, and the sedan uses .25kWh/mile, then electric cost is $0.014/mile (.25kWh*$0.056).  $0.014/mile driven vs. $0.12/mile driven = 88% savings (1-($0.014/$0.12).</t>
  </si>
  <si>
    <t>Miles driven</t>
  </si>
  <si>
    <t>Assumptions</t>
  </si>
  <si>
    <t>Analysis: EV Savings</t>
  </si>
  <si>
    <t>Example:</t>
  </si>
  <si>
    <t>Bayfield County Fleet Fuel - NG Analysis</t>
  </si>
  <si>
    <t>Miles driven on CNG</t>
  </si>
  <si>
    <t>2021 Average Natural Gas $/therm</t>
  </si>
  <si>
    <t>2022 Average Natural Gas $/therm</t>
  </si>
  <si>
    <t>2022 gallons used</t>
  </si>
  <si>
    <t>Emissions data from EPA calculator</t>
  </si>
  <si>
    <t>Tons CO2 from 2021 gasoline</t>
  </si>
  <si>
    <t>Tons CO2 from 2021 therms</t>
  </si>
  <si>
    <t>% Emission reduction</t>
  </si>
  <si>
    <t>2021 kWh used (if EV)</t>
  </si>
  <si>
    <t>Tons CO2 from 2021 gasoline (34,488 Gal)</t>
  </si>
  <si>
    <t>Tons CO2 from 2021 equiv. kWh</t>
  </si>
  <si>
    <t xml:space="preserve">    subtotal gasoline equivalent kWh</t>
  </si>
  <si>
    <t>% emissions reduced</t>
  </si>
  <si>
    <t>Gasoline gal</t>
  </si>
  <si>
    <t>per 100 miles driven (sedan)</t>
  </si>
  <si>
    <t>kWh</t>
  </si>
  <si>
    <t>CO2 Lbs Gas</t>
  </si>
  <si>
    <t>CO2 Lbs kWh</t>
  </si>
  <si>
    <t>pre gallon of gasoline (sedan)</t>
  </si>
  <si>
    <t>2021-2022 Bayfield County Fleet Fuel - EV &amp; CNG Analysis</t>
  </si>
  <si>
    <t>Combined Fleets</t>
  </si>
  <si>
    <t>Tax Credit per CNG gallon equivalent</t>
  </si>
  <si>
    <t>Note: 2022 numbers to Nov. 2022 only, update when Dec data available and 2022 fleet gallons equiv.</t>
  </si>
  <si>
    <t>2021 County fleet = sedans</t>
  </si>
  <si>
    <t>2022 County fleet = sedans</t>
  </si>
  <si>
    <t>Cost of gasoline</t>
  </si>
  <si>
    <t>Cost of CNG</t>
  </si>
  <si>
    <t>Tax Credit</t>
  </si>
  <si>
    <t>CNG Savings %</t>
  </si>
  <si>
    <t>CNG Savings $</t>
  </si>
  <si>
    <t>170,300est</t>
  </si>
  <si>
    <t>Cost of CNG after tax credit</t>
  </si>
  <si>
    <t>2022 EV Savings $</t>
  </si>
  <si>
    <t>MPG</t>
  </si>
  <si>
    <t>Gallon diesel to therms (EPA calc.)</t>
  </si>
  <si>
    <t>Diesel consumed</t>
  </si>
  <si>
    <t>CNG (diesel gal equiv)</t>
  </si>
  <si>
    <t>Tons CO2 from 2021 Diesel</t>
  </si>
  <si>
    <t>Tons CO2 from 2021 equiv therms</t>
  </si>
  <si>
    <t>Example - Heavy Trucks</t>
  </si>
  <si>
    <t>2022 $</t>
  </si>
  <si>
    <t>2022 gallons of diesel used (est)</t>
  </si>
  <si>
    <t>2022 Cost of diesel fuel</t>
  </si>
  <si>
    <t>2022 Cost of CNG equivalent</t>
  </si>
  <si>
    <t>Therms in gallon of gasoline</t>
  </si>
  <si>
    <t>Gallons of gasoline in one therm</t>
  </si>
  <si>
    <t>Therms in gallon of diesel</t>
  </si>
  <si>
    <t>Gallon diesel in one therms</t>
  </si>
  <si>
    <t>CNG Saving %</t>
  </si>
  <si>
    <t>Therms in gallon of diesel (EPA extraction)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</si>
</sst>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  <numFmt numFmtId="168" formatCode="0.00000"/>
    <numFmt numFmtId="169" formatCode="0.0%"/>
    <numFmt numFmtId="170" formatCode="&quot;$&quot;#,##0.000_);[Red]\(&quot;$&quot;#,##0.000\)"/>
    <numFmt numFmtId="171" formatCode="0.0"/>
    <numFmt numFmtId="172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6" fontId="0" fillId="0" borderId="0" xfId="0" applyNumberFormat="1"/>
    <xf numFmtId="8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" fontId="0" fillId="0" borderId="0" xfId="0" applyNumberFormat="1"/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6" fontId="0" fillId="0" borderId="0" xfId="2" applyNumberFormat="1" applyFont="1"/>
    <xf numFmtId="167" fontId="0" fillId="0" borderId="0" xfId="2" applyNumberFormat="1" applyFont="1"/>
    <xf numFmtId="9" fontId="0" fillId="0" borderId="0" xfId="3" applyFont="1"/>
    <xf numFmtId="168" fontId="0" fillId="0" borderId="0" xfId="0" applyNumberFormat="1"/>
    <xf numFmtId="167" fontId="0" fillId="0" borderId="0" xfId="0" applyNumberFormat="1"/>
    <xf numFmtId="0" fontId="3" fillId="0" borderId="0" xfId="0" applyFont="1" applyAlignment="1">
      <alignment horizontal="center"/>
    </xf>
    <xf numFmtId="165" fontId="0" fillId="0" borderId="0" xfId="0" applyNumberFormat="1"/>
    <xf numFmtId="167" fontId="0" fillId="0" borderId="0" xfId="3" applyNumberFormat="1" applyFont="1"/>
    <xf numFmtId="169" fontId="0" fillId="0" borderId="0" xfId="3" applyNumberFormat="1" applyFont="1"/>
    <xf numFmtId="37" fontId="0" fillId="0" borderId="0" xfId="2" applyNumberFormat="1" applyFont="1"/>
    <xf numFmtId="44" fontId="0" fillId="0" borderId="0" xfId="0" applyNumberFormat="1"/>
    <xf numFmtId="170" fontId="0" fillId="0" borderId="0" xfId="0" applyNumberFormat="1"/>
    <xf numFmtId="6" fontId="0" fillId="0" borderId="0" xfId="2" applyNumberFormat="1" applyFont="1"/>
    <xf numFmtId="171" fontId="0" fillId="0" borderId="0" xfId="0" applyNumberFormat="1"/>
    <xf numFmtId="172" fontId="0" fillId="0" borderId="0" xfId="0" applyNumberFormat="1"/>
    <xf numFmtId="9" fontId="0" fillId="2" borderId="0" xfId="3" applyFont="1" applyFill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FFE1-6E02-44D9-9B4D-627AD7D63477}">
  <sheetPr>
    <pageSetUpPr fitToPage="1"/>
  </sheetPr>
  <dimension ref="A1:M35"/>
  <sheetViews>
    <sheetView topLeftCell="A5" workbookViewId="0">
      <selection activeCell="F3" sqref="F3"/>
    </sheetView>
  </sheetViews>
  <sheetFormatPr defaultRowHeight="15" x14ac:dyDescent="0.25"/>
  <cols>
    <col min="1" max="1" width="33" customWidth="1"/>
    <col min="2" max="2" width="12.140625" customWidth="1"/>
    <col min="3" max="3" width="11" customWidth="1"/>
    <col min="4" max="4" width="11.5703125" customWidth="1"/>
    <col min="5" max="5" width="12.5703125" customWidth="1"/>
    <col min="6" max="6" width="10.140625" customWidth="1"/>
    <col min="7" max="8" width="10" customWidth="1"/>
    <col min="9" max="9" width="8.5703125" customWidth="1"/>
    <col min="10" max="11" width="9.7109375" customWidth="1"/>
    <col min="12" max="12" width="10.5703125" customWidth="1"/>
    <col min="13" max="13" width="12.42578125" customWidth="1"/>
    <col min="14" max="14" width="12.28515625" customWidth="1"/>
    <col min="15" max="15" width="11.5703125" customWidth="1"/>
  </cols>
  <sheetData>
    <row r="1" spans="1:13" ht="18.75" x14ac:dyDescent="0.3">
      <c r="A1" s="29" t="s">
        <v>62</v>
      </c>
      <c r="B1" s="29"/>
      <c r="C1" s="29"/>
      <c r="D1" s="29"/>
      <c r="E1" s="29"/>
      <c r="F1" s="17"/>
      <c r="G1" s="17"/>
      <c r="H1" s="17"/>
      <c r="I1" s="17"/>
      <c r="J1" s="17"/>
      <c r="K1" s="17"/>
      <c r="L1" s="17"/>
      <c r="M1" s="17"/>
    </row>
    <row r="2" spans="1:13" ht="45" x14ac:dyDescent="0.25">
      <c r="A2" s="5" t="s">
        <v>0</v>
      </c>
      <c r="B2" s="6" t="s">
        <v>8</v>
      </c>
      <c r="C2" s="5" t="s">
        <v>4</v>
      </c>
      <c r="D2" s="6" t="s">
        <v>5</v>
      </c>
      <c r="E2" s="6" t="s">
        <v>28</v>
      </c>
      <c r="F2" s="6" t="s">
        <v>83</v>
      </c>
    </row>
    <row r="3" spans="1:13" x14ac:dyDescent="0.25">
      <c r="A3" t="s">
        <v>1</v>
      </c>
      <c r="B3" s="2">
        <v>51520</v>
      </c>
      <c r="C3" s="3">
        <v>142030</v>
      </c>
      <c r="D3" s="4">
        <f>C3/B3</f>
        <v>2.7567934782608696</v>
      </c>
      <c r="E3" s="4">
        <v>4.5</v>
      </c>
      <c r="F3" s="3">
        <f>B3*E3</f>
        <v>231840</v>
      </c>
    </row>
    <row r="4" spans="1:13" x14ac:dyDescent="0.25">
      <c r="A4" t="s">
        <v>2</v>
      </c>
      <c r="B4" s="2">
        <v>13263</v>
      </c>
      <c r="C4" s="3">
        <v>33073</v>
      </c>
      <c r="D4" s="4">
        <f>C4/B4</f>
        <v>2.4936288924074494</v>
      </c>
      <c r="E4" s="4">
        <v>3.6</v>
      </c>
    </row>
    <row r="5" spans="1:13" x14ac:dyDescent="0.25">
      <c r="A5" s="5" t="s">
        <v>3</v>
      </c>
      <c r="B5" s="5"/>
      <c r="C5" s="3"/>
    </row>
    <row r="6" spans="1:13" x14ac:dyDescent="0.25">
      <c r="A6" t="s">
        <v>13</v>
      </c>
      <c r="B6" s="2">
        <v>11530</v>
      </c>
      <c r="C6" s="3">
        <f>B6*D4</f>
        <v>28751.541129457892</v>
      </c>
      <c r="D6" s="3"/>
    </row>
    <row r="7" spans="1:13" x14ac:dyDescent="0.25">
      <c r="A7" t="s">
        <v>14</v>
      </c>
      <c r="B7" s="2">
        <v>9695</v>
      </c>
      <c r="C7" s="3">
        <f>B7*D4</f>
        <v>24175.732111890222</v>
      </c>
      <c r="D7" s="3"/>
    </row>
    <row r="8" spans="1:13" x14ac:dyDescent="0.25">
      <c r="A8" s="5" t="s">
        <v>63</v>
      </c>
      <c r="C8" s="3"/>
    </row>
    <row r="9" spans="1:13" x14ac:dyDescent="0.25">
      <c r="A9" t="s">
        <v>6</v>
      </c>
      <c r="B9" s="2">
        <f>B3</f>
        <v>51520</v>
      </c>
      <c r="C9" s="3">
        <f>C3</f>
        <v>142030</v>
      </c>
      <c r="D9" s="9"/>
    </row>
    <row r="10" spans="1:13" x14ac:dyDescent="0.25">
      <c r="A10" t="s">
        <v>7</v>
      </c>
      <c r="B10" s="8">
        <f>B4+B6+B7</f>
        <v>34488</v>
      </c>
      <c r="C10" s="3">
        <f>C4+C6+C7</f>
        <v>86000.273241348114</v>
      </c>
      <c r="D10" s="9"/>
      <c r="G10" s="9"/>
    </row>
    <row r="11" spans="1:13" x14ac:dyDescent="0.25">
      <c r="A11" t="s">
        <v>11</v>
      </c>
      <c r="B11" s="8">
        <f>SUM(B9:B10)</f>
        <v>86008</v>
      </c>
      <c r="C11" s="3">
        <f>SUM(C9:C10)</f>
        <v>228030.2732413481</v>
      </c>
      <c r="D11" s="8"/>
    </row>
    <row r="13" spans="1:13" x14ac:dyDescent="0.25">
      <c r="A13" s="5" t="s">
        <v>39</v>
      </c>
      <c r="B13" t="s">
        <v>29</v>
      </c>
      <c r="C13" t="s">
        <v>30</v>
      </c>
      <c r="H13" t="s">
        <v>76</v>
      </c>
    </row>
    <row r="14" spans="1:13" x14ac:dyDescent="0.25">
      <c r="A14" t="s">
        <v>31</v>
      </c>
      <c r="B14">
        <v>0.25</v>
      </c>
      <c r="C14">
        <v>4</v>
      </c>
      <c r="E14" s="30" t="s">
        <v>24</v>
      </c>
      <c r="F14" s="30"/>
      <c r="G14" s="30"/>
      <c r="H14">
        <v>30</v>
      </c>
    </row>
    <row r="15" spans="1:13" x14ac:dyDescent="0.25">
      <c r="A15" t="s">
        <v>32</v>
      </c>
      <c r="B15">
        <v>0.33</v>
      </c>
      <c r="C15">
        <v>3</v>
      </c>
      <c r="E15" s="30" t="s">
        <v>25</v>
      </c>
      <c r="F15" s="30"/>
      <c r="G15" s="30"/>
      <c r="H15">
        <v>20</v>
      </c>
    </row>
    <row r="16" spans="1:13" x14ac:dyDescent="0.25">
      <c r="A16" t="s">
        <v>33</v>
      </c>
      <c r="B16">
        <v>0.5</v>
      </c>
      <c r="C16">
        <v>2</v>
      </c>
      <c r="E16" s="30" t="s">
        <v>26</v>
      </c>
      <c r="F16" s="30"/>
      <c r="G16" s="30"/>
      <c r="H16">
        <v>14</v>
      </c>
    </row>
    <row r="17" spans="1:12" x14ac:dyDescent="0.25">
      <c r="A17" t="s">
        <v>34</v>
      </c>
      <c r="B17">
        <v>1</v>
      </c>
      <c r="C17">
        <v>1</v>
      </c>
      <c r="E17" s="30" t="s">
        <v>27</v>
      </c>
      <c r="F17" s="30"/>
      <c r="G17" s="30"/>
      <c r="H17">
        <v>10</v>
      </c>
    </row>
    <row r="19" spans="1:12" x14ac:dyDescent="0.25">
      <c r="A19" t="s">
        <v>19</v>
      </c>
      <c r="B19" s="12">
        <v>5.6000000000000001E-2</v>
      </c>
    </row>
    <row r="20" spans="1:12" x14ac:dyDescent="0.25">
      <c r="E20" s="22"/>
    </row>
    <row r="21" spans="1:12" x14ac:dyDescent="0.25">
      <c r="A21" s="5" t="s">
        <v>40</v>
      </c>
    </row>
    <row r="22" spans="1:12" ht="48" customHeight="1" x14ac:dyDescent="0.25">
      <c r="B22" s="1" t="s">
        <v>38</v>
      </c>
      <c r="C22" s="1" t="s">
        <v>21</v>
      </c>
      <c r="D22" s="1" t="s">
        <v>51</v>
      </c>
      <c r="E22" s="1" t="s">
        <v>23</v>
      </c>
      <c r="F22" s="1" t="s">
        <v>35</v>
      </c>
      <c r="G22" s="1" t="s">
        <v>20</v>
      </c>
      <c r="H22" s="1" t="s">
        <v>22</v>
      </c>
      <c r="I22" s="1" t="s">
        <v>36</v>
      </c>
      <c r="J22" s="1" t="s">
        <v>20</v>
      </c>
      <c r="K22" s="1" t="s">
        <v>22</v>
      </c>
      <c r="L22" s="1" t="s">
        <v>75</v>
      </c>
    </row>
    <row r="23" spans="1:12" x14ac:dyDescent="0.25">
      <c r="A23" t="s">
        <v>15</v>
      </c>
      <c r="B23" s="11">
        <f>B6*H14</f>
        <v>345900</v>
      </c>
      <c r="C23" s="13">
        <f>C6</f>
        <v>28751.541129457892</v>
      </c>
      <c r="D23" s="21">
        <f>B23*B14</f>
        <v>86475</v>
      </c>
      <c r="E23" s="13">
        <f>(B23*B14)*B19</f>
        <v>4842.6000000000004</v>
      </c>
      <c r="F23" s="14">
        <f>1-(E23/C23)</f>
        <v>0.83157076769570337</v>
      </c>
      <c r="G23" s="16">
        <f>B6*E4</f>
        <v>41508</v>
      </c>
      <c r="H23" s="16">
        <f>E23</f>
        <v>4842.6000000000004</v>
      </c>
      <c r="I23" s="14">
        <f>1-(H23/G23)</f>
        <v>0.8833333333333333</v>
      </c>
    </row>
    <row r="24" spans="1:12" x14ac:dyDescent="0.25">
      <c r="A24" t="s">
        <v>16</v>
      </c>
      <c r="B24" s="10">
        <f>B7*H15</f>
        <v>193900</v>
      </c>
      <c r="C24" s="13">
        <f>C7</f>
        <v>24175.732111890222</v>
      </c>
      <c r="D24" s="21">
        <f>B24*B15</f>
        <v>63987</v>
      </c>
      <c r="E24" s="13">
        <f>(B24*B15)*B19</f>
        <v>3583.2719999999999</v>
      </c>
      <c r="F24" s="14">
        <f>1-(E24/C24)</f>
        <v>0.85178227557221908</v>
      </c>
      <c r="G24" s="16">
        <f>B7*E4</f>
        <v>34902</v>
      </c>
      <c r="H24" s="16">
        <f>E24</f>
        <v>3583.2719999999999</v>
      </c>
      <c r="I24" s="14">
        <f t="shared" ref="I24:I28" si="0">1-(H24/G24)</f>
        <v>0.89733333333333332</v>
      </c>
    </row>
    <row r="25" spans="1:12" x14ac:dyDescent="0.25">
      <c r="A25" t="s">
        <v>17</v>
      </c>
      <c r="B25" s="10">
        <f>B4*H16</f>
        <v>185682</v>
      </c>
      <c r="C25" s="13">
        <f>C4</f>
        <v>33073</v>
      </c>
      <c r="D25" s="21">
        <f>B25*B16</f>
        <v>92841</v>
      </c>
      <c r="E25" s="13">
        <f>(B25*B16)*B19</f>
        <v>5199.0960000000005</v>
      </c>
      <c r="F25" s="14">
        <f>1-(E25/C25)</f>
        <v>0.84279938318265657</v>
      </c>
      <c r="G25" s="16">
        <f>B4*E4</f>
        <v>47746.8</v>
      </c>
      <c r="H25" s="16">
        <f>E25</f>
        <v>5199.0960000000005</v>
      </c>
      <c r="I25" s="14">
        <f t="shared" si="0"/>
        <v>0.89111111111111108</v>
      </c>
    </row>
    <row r="26" spans="1:12" x14ac:dyDescent="0.25">
      <c r="A26" t="s">
        <v>54</v>
      </c>
      <c r="B26" s="10"/>
      <c r="C26" s="13"/>
      <c r="D26" s="21">
        <f>SUM(D23:D25)</f>
        <v>243303</v>
      </c>
      <c r="E26" s="13"/>
      <c r="F26" s="14"/>
      <c r="G26" s="16"/>
      <c r="H26" s="16"/>
      <c r="I26" s="14"/>
      <c r="J26" s="16">
        <f>SUM(G23:G25)</f>
        <v>124156.8</v>
      </c>
      <c r="K26" s="16">
        <f>SUM(H23:H25)</f>
        <v>13624.968000000001</v>
      </c>
      <c r="L26" s="16">
        <f>J26-K26</f>
        <v>110531.83199999999</v>
      </c>
    </row>
    <row r="27" spans="1:12" x14ac:dyDescent="0.25">
      <c r="A27" t="s">
        <v>18</v>
      </c>
      <c r="B27" s="10">
        <f>B3*H17</f>
        <v>515200</v>
      </c>
      <c r="C27" s="13">
        <f>C3</f>
        <v>142030</v>
      </c>
      <c r="D27" s="21">
        <f>B27*B17</f>
        <v>515200</v>
      </c>
      <c r="E27" s="13">
        <f>(B27*B17)*B19</f>
        <v>28851.200000000001</v>
      </c>
      <c r="F27" s="14">
        <f>1-(E27/C27)</f>
        <v>0.79686545096106454</v>
      </c>
      <c r="G27" s="16">
        <f>B3*E3</f>
        <v>231840</v>
      </c>
      <c r="H27" s="16">
        <f>E27</f>
        <v>28851.200000000001</v>
      </c>
      <c r="I27" s="14">
        <f t="shared" si="0"/>
        <v>0.87555555555555553</v>
      </c>
    </row>
    <row r="28" spans="1:12" x14ac:dyDescent="0.25">
      <c r="A28" t="s">
        <v>11</v>
      </c>
      <c r="B28" s="18">
        <f>SUM(B23:B27)</f>
        <v>1240682</v>
      </c>
      <c r="C28" s="13">
        <f t="shared" ref="C28:E28" si="1">SUM(C23:C27)</f>
        <v>228030.2732413481</v>
      </c>
      <c r="D28" s="21">
        <f>SUM(D26:D27)</f>
        <v>758503</v>
      </c>
      <c r="E28" s="13">
        <f t="shared" si="1"/>
        <v>42476.168000000005</v>
      </c>
      <c r="G28" s="16">
        <f t="shared" ref="G28:H28" si="2">SUM(G23:G27)</f>
        <v>355996.8</v>
      </c>
      <c r="H28" s="16">
        <f t="shared" si="2"/>
        <v>42476.168000000005</v>
      </c>
      <c r="I28" s="14">
        <f t="shared" si="0"/>
        <v>0.88068384884358508</v>
      </c>
    </row>
    <row r="30" spans="1:12" ht="53.25" customHeight="1" x14ac:dyDescent="0.25">
      <c r="A30" s="28" t="s">
        <v>37</v>
      </c>
      <c r="B30" s="28"/>
      <c r="C30" s="28"/>
      <c r="D30" s="28"/>
      <c r="E30" s="28"/>
      <c r="F30" s="28"/>
      <c r="G30" s="28"/>
      <c r="H30" s="28"/>
    </row>
    <row r="31" spans="1:12" ht="64.5" customHeight="1" x14ac:dyDescent="0.25">
      <c r="B31" s="1" t="s">
        <v>52</v>
      </c>
      <c r="C31" s="1" t="s">
        <v>53</v>
      </c>
      <c r="D31" s="1" t="s">
        <v>55</v>
      </c>
    </row>
    <row r="32" spans="1:12" x14ac:dyDescent="0.25">
      <c r="A32" t="s">
        <v>47</v>
      </c>
      <c r="B32" s="2">
        <v>338</v>
      </c>
      <c r="C32">
        <v>116</v>
      </c>
      <c r="D32" s="14">
        <f>1-(C32/B32)</f>
        <v>0.65680473372781067</v>
      </c>
    </row>
    <row r="33" spans="1:6" ht="45" x14ac:dyDescent="0.25">
      <c r="B33" s="2" t="s">
        <v>56</v>
      </c>
      <c r="C33" t="s">
        <v>58</v>
      </c>
      <c r="D33" s="14" t="s">
        <v>59</v>
      </c>
      <c r="E33" t="s">
        <v>60</v>
      </c>
      <c r="F33" s="1" t="s">
        <v>55</v>
      </c>
    </row>
    <row r="34" spans="1:6" x14ac:dyDescent="0.25">
      <c r="A34" t="s">
        <v>57</v>
      </c>
      <c r="B34" s="25">
        <f>100/H14</f>
        <v>3.3333333333333335</v>
      </c>
      <c r="C34">
        <f>B14*100</f>
        <v>25</v>
      </c>
      <c r="D34">
        <v>64.7</v>
      </c>
      <c r="E34">
        <v>23.8</v>
      </c>
      <c r="F34" s="14">
        <f>1-(E34/D34)</f>
        <v>0.63214837712519323</v>
      </c>
    </row>
    <row r="35" spans="1:6" x14ac:dyDescent="0.25">
      <c r="A35" t="s">
        <v>61</v>
      </c>
      <c r="B35">
        <v>1</v>
      </c>
      <c r="C35">
        <f>C34/B34</f>
        <v>7.5</v>
      </c>
      <c r="D35">
        <v>19.600000000000001</v>
      </c>
      <c r="E35">
        <v>7.2</v>
      </c>
      <c r="F35" s="14">
        <f>1-(E35/D35)</f>
        <v>0.63265306122448983</v>
      </c>
    </row>
  </sheetData>
  <mergeCells count="6">
    <mergeCell ref="A30:H30"/>
    <mergeCell ref="A1:E1"/>
    <mergeCell ref="E14:G14"/>
    <mergeCell ref="E15:G15"/>
    <mergeCell ref="E16:G16"/>
    <mergeCell ref="E17:G17"/>
  </mergeCells>
  <printOptions gridLines="1"/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DA69-53A9-46AC-87A4-89BA2ADC2A05}">
  <sheetPr>
    <pageSetUpPr fitToPage="1"/>
  </sheetPr>
  <dimension ref="A1:N26"/>
  <sheetViews>
    <sheetView tabSelected="1" topLeftCell="A5" workbookViewId="0">
      <selection activeCell="G26" sqref="G26"/>
    </sheetView>
  </sheetViews>
  <sheetFormatPr defaultRowHeight="15" x14ac:dyDescent="0.25"/>
  <cols>
    <col min="1" max="1" width="38.7109375" customWidth="1"/>
    <col min="2" max="2" width="12" customWidth="1"/>
    <col min="3" max="3" width="11.28515625" customWidth="1"/>
    <col min="4" max="4" width="10.42578125" customWidth="1"/>
    <col min="5" max="5" width="12" customWidth="1"/>
    <col min="6" max="6" width="11.7109375" customWidth="1"/>
    <col min="7" max="7" width="10.7109375" customWidth="1"/>
    <col min="9" max="9" width="10.85546875" customWidth="1"/>
  </cols>
  <sheetData>
    <row r="1" spans="1:14" ht="18.75" x14ac:dyDescent="0.3">
      <c r="A1" s="29" t="s">
        <v>42</v>
      </c>
      <c r="B1" s="29"/>
      <c r="C1" s="29"/>
    </row>
    <row r="2" spans="1:14" ht="61.5" customHeight="1" x14ac:dyDescent="0.25">
      <c r="B2" s="6" t="s">
        <v>8</v>
      </c>
      <c r="C2" s="6" t="s">
        <v>44</v>
      </c>
      <c r="D2" s="6" t="s">
        <v>46</v>
      </c>
      <c r="E2" s="6" t="s">
        <v>45</v>
      </c>
    </row>
    <row r="3" spans="1:14" x14ac:dyDescent="0.25">
      <c r="A3" t="s">
        <v>9</v>
      </c>
      <c r="B3">
        <v>5677</v>
      </c>
      <c r="D3">
        <v>5695</v>
      </c>
    </row>
    <row r="4" spans="1:14" x14ac:dyDescent="0.25">
      <c r="A4" t="s">
        <v>10</v>
      </c>
      <c r="B4" s="7">
        <f>B3*B10</f>
        <v>7090.6638677512465</v>
      </c>
      <c r="C4" s="4">
        <v>1.0440100000000001</v>
      </c>
      <c r="D4" s="7">
        <f>D3*B10</f>
        <v>7113.1461558646024</v>
      </c>
      <c r="E4" s="23">
        <v>0.95650000000000002</v>
      </c>
    </row>
    <row r="5" spans="1:14" x14ac:dyDescent="0.25">
      <c r="A5" t="s">
        <v>78</v>
      </c>
      <c r="B5" s="7">
        <f>'Gasoline &amp; Diesel'!B3</f>
        <v>51520</v>
      </c>
      <c r="C5" s="4"/>
      <c r="D5" s="7"/>
      <c r="E5" s="23"/>
    </row>
    <row r="6" spans="1:14" x14ac:dyDescent="0.25">
      <c r="A6" t="s">
        <v>79</v>
      </c>
      <c r="B6" s="7">
        <f>B5*B12</f>
        <v>71547.8848</v>
      </c>
      <c r="C6" s="4"/>
      <c r="D6" s="7"/>
      <c r="E6" s="23"/>
    </row>
    <row r="8" spans="1:14" x14ac:dyDescent="0.25">
      <c r="B8" t="s">
        <v>12</v>
      </c>
    </row>
    <row r="9" spans="1:14" x14ac:dyDescent="0.25">
      <c r="A9" t="s">
        <v>88</v>
      </c>
      <c r="B9" s="15">
        <v>0.80063025210084038</v>
      </c>
    </row>
    <row r="10" spans="1:14" x14ac:dyDescent="0.25">
      <c r="A10" t="s">
        <v>87</v>
      </c>
      <c r="B10" s="15">
        <v>1.2490160062975597</v>
      </c>
    </row>
    <row r="11" spans="1:14" x14ac:dyDescent="0.25">
      <c r="A11" t="s">
        <v>64</v>
      </c>
      <c r="B11" s="4">
        <v>0.5</v>
      </c>
    </row>
    <row r="12" spans="1:14" x14ac:dyDescent="0.25">
      <c r="A12" t="s">
        <v>89</v>
      </c>
      <c r="B12" s="26">
        <f>138874/100000</f>
        <v>1.3887400000000001</v>
      </c>
    </row>
    <row r="13" spans="1:14" x14ac:dyDescent="0.25">
      <c r="A13" t="s">
        <v>90</v>
      </c>
      <c r="B13" s="26">
        <f>100000/138874</f>
        <v>0.72007719227501188</v>
      </c>
    </row>
    <row r="14" spans="1:14" x14ac:dyDescent="0.25">
      <c r="A14" t="s">
        <v>77</v>
      </c>
      <c r="B14" s="26">
        <v>0.52</v>
      </c>
    </row>
    <row r="15" spans="1:14" x14ac:dyDescent="0.25">
      <c r="A15" t="s">
        <v>92</v>
      </c>
      <c r="B15" s="26">
        <f>1/B14</f>
        <v>1.9230769230769229</v>
      </c>
    </row>
    <row r="16" spans="1:14" ht="55.5" customHeight="1" x14ac:dyDescent="0.25">
      <c r="A16" t="s">
        <v>41</v>
      </c>
      <c r="B16" s="1" t="s">
        <v>43</v>
      </c>
      <c r="C16" s="1" t="s">
        <v>68</v>
      </c>
      <c r="D16" s="1" t="s">
        <v>69</v>
      </c>
      <c r="E16" s="1" t="s">
        <v>70</v>
      </c>
      <c r="F16" s="1" t="s">
        <v>74</v>
      </c>
      <c r="G16" s="1" t="s">
        <v>71</v>
      </c>
      <c r="H16" s="1" t="s">
        <v>72</v>
      </c>
      <c r="I16" s="1"/>
      <c r="J16" s="1"/>
      <c r="K16" s="1"/>
      <c r="L16" s="1"/>
      <c r="M16" s="1"/>
      <c r="N16" s="1"/>
    </row>
    <row r="17" spans="1:8" x14ac:dyDescent="0.25">
      <c r="A17" t="s">
        <v>66</v>
      </c>
      <c r="B17" s="11">
        <f>B3*'Gasoline &amp; Diesel'!H14</f>
        <v>170310</v>
      </c>
      <c r="C17" s="13">
        <f>$B$3*'Gasoline &amp; Diesel'!$D$4</f>
        <v>14156.33122219709</v>
      </c>
      <c r="D17" s="13">
        <f>B4*C4</f>
        <v>7402.7239845709792</v>
      </c>
      <c r="E17" s="24">
        <f>-(B3*B11)</f>
        <v>-2838.5</v>
      </c>
      <c r="F17" s="13">
        <f>D17+E17</f>
        <v>4564.2239845709792</v>
      </c>
      <c r="G17" s="14">
        <f>1-(F17/C17)</f>
        <v>0.67758426156246698</v>
      </c>
      <c r="H17" s="19">
        <f>C17-F17</f>
        <v>9592.1072376261109</v>
      </c>
    </row>
    <row r="18" spans="1:8" x14ac:dyDescent="0.25">
      <c r="A18" t="s">
        <v>67</v>
      </c>
      <c r="B18" t="s">
        <v>73</v>
      </c>
      <c r="C18" s="13">
        <f>B3*'Gasoline &amp; Diesel'!E4</f>
        <v>20437.2</v>
      </c>
      <c r="D18" s="16">
        <f>B4*E4</f>
        <v>6782.2199895040676</v>
      </c>
      <c r="E18" s="3">
        <f>-(D3*B11)</f>
        <v>-2847.5</v>
      </c>
      <c r="F18" s="16">
        <f>D18+E18</f>
        <v>3934.7199895040676</v>
      </c>
      <c r="G18" s="14">
        <f>1-(F18/C18)</f>
        <v>0.80747264843011435</v>
      </c>
      <c r="H18" s="16">
        <f>C18-F18</f>
        <v>16502.480010495932</v>
      </c>
    </row>
    <row r="19" spans="1:8" x14ac:dyDescent="0.25">
      <c r="C19" s="13"/>
      <c r="D19" s="16"/>
      <c r="E19" s="16"/>
      <c r="F19" s="16"/>
      <c r="G19" s="14"/>
      <c r="H19" s="16"/>
    </row>
    <row r="20" spans="1:8" x14ac:dyDescent="0.25">
      <c r="A20" t="s">
        <v>65</v>
      </c>
    </row>
    <row r="22" spans="1:8" ht="60" x14ac:dyDescent="0.25">
      <c r="B22" s="1" t="s">
        <v>48</v>
      </c>
      <c r="C22" s="1" t="s">
        <v>49</v>
      </c>
      <c r="D22" s="1" t="s">
        <v>50</v>
      </c>
      <c r="E22" s="1" t="s">
        <v>80</v>
      </c>
      <c r="F22" s="1" t="s">
        <v>81</v>
      </c>
      <c r="G22" s="1" t="s">
        <v>50</v>
      </c>
    </row>
    <row r="23" spans="1:8" x14ac:dyDescent="0.25">
      <c r="A23" t="s">
        <v>47</v>
      </c>
      <c r="B23">
        <v>55.6</v>
      </c>
      <c r="C23">
        <v>41.4</v>
      </c>
      <c r="D23" s="20">
        <f>1-(C23/B23)</f>
        <v>0.25539568345323749</v>
      </c>
      <c r="E23">
        <v>578</v>
      </c>
      <c r="F23">
        <v>417</v>
      </c>
      <c r="G23" s="27">
        <f>1-(F23/E23)</f>
        <v>0.27854671280276821</v>
      </c>
    </row>
    <row r="24" spans="1:8" x14ac:dyDescent="0.25">
      <c r="D24" s="20"/>
    </row>
    <row r="25" spans="1:8" ht="60" x14ac:dyDescent="0.25">
      <c r="B25" s="1" t="s">
        <v>84</v>
      </c>
      <c r="C25" s="1" t="s">
        <v>85</v>
      </c>
      <c r="D25" s="1" t="s">
        <v>86</v>
      </c>
      <c r="E25" s="1" t="s">
        <v>70</v>
      </c>
      <c r="F25" s="1" t="s">
        <v>74</v>
      </c>
      <c r="G25" s="1" t="s">
        <v>91</v>
      </c>
    </row>
    <row r="26" spans="1:8" x14ac:dyDescent="0.25">
      <c r="A26" t="s">
        <v>82</v>
      </c>
      <c r="B26" s="2">
        <f>'Gasoline &amp; Diesel'!B3</f>
        <v>51520</v>
      </c>
      <c r="C26" s="3">
        <f>'Gasoline &amp; Diesel'!F3</f>
        <v>231840</v>
      </c>
      <c r="D26" s="3">
        <f>(B26*B15)*E4</f>
        <v>94767.076923076907</v>
      </c>
      <c r="E26" s="24">
        <f>-(B6*B11)</f>
        <v>-35773.9424</v>
      </c>
      <c r="F26" s="13">
        <f>D26+E26</f>
        <v>58993.134523076907</v>
      </c>
      <c r="G26" s="27">
        <f>1-(F26/C26)</f>
        <v>0.74554376068376071</v>
      </c>
    </row>
  </sheetData>
  <mergeCells count="1">
    <mergeCell ref="A1:C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Gasoline &amp; Diesel</vt:lpstr>
      <vt:lpstr>CNG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Bailey</dc:creator>
  <cp:lastModifiedBy>William Bailey</cp:lastModifiedBy>
  <cp:lastPrinted>2023-01-18T23:09:34Z</cp:lastPrinted>
  <dcterms:created xsi:type="dcterms:W3CDTF">2022-11-28T12:41:11Z</dcterms:created>
  <dcterms:modified xsi:type="dcterms:W3CDTF">2023-06-28T19:43:00Z</dcterms:modified>
</cp:coreProperties>
</file>