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9d7c92027400a3/Documents/Bayfield County/2023 DOT CFI/Electric Rate Analysis/"/>
    </mc:Choice>
  </mc:AlternateContent>
  <xr:revisionPtr revIDLastSave="0" documentId="8_{EEED1CA8-B155-4E5A-BA4A-077EC9B3020F}" xr6:coauthVersionLast="47" xr6:coauthVersionMax="47" xr10:uidLastSave="{00000000-0000-0000-0000-000000000000}"/>
  <bookViews>
    <workbookView xWindow="14295" yWindow="0" windowWidth="14610" windowHeight="15585" xr2:uid="{522F95EF-B080-438E-8A61-1CC6D8D3402A}"/>
  </bookViews>
  <sheets>
    <sheet name="EV Cost Analysi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7" i="2" s="1"/>
  <c r="C10" i="2"/>
  <c r="C9" i="2"/>
  <c r="B37" i="2"/>
  <c r="B36" i="2"/>
  <c r="B35" i="2"/>
  <c r="B34" i="2"/>
  <c r="B28" i="2"/>
  <c r="B29" i="2"/>
  <c r="B21" i="2"/>
  <c r="B22" i="2"/>
  <c r="C11" i="2" l="1"/>
  <c r="C17" i="2" s="1"/>
  <c r="D17" i="2" l="1"/>
  <c r="E17" i="2"/>
  <c r="G17" i="2"/>
  <c r="A17" i="2"/>
  <c r="F17" i="2"/>
  <c r="I17" i="2" l="1"/>
  <c r="K17" i="2" s="1"/>
  <c r="N17" i="2"/>
  <c r="P17" i="2" s="1"/>
  <c r="O17" i="2"/>
  <c r="Q17" i="2" s="1"/>
  <c r="J17" i="2"/>
  <c r="L17" i="2" s="1"/>
</calcChain>
</file>

<file path=xl/sharedStrings.xml><?xml version="1.0" encoding="utf-8"?>
<sst xmlns="http://schemas.openxmlformats.org/spreadsheetml/2006/main" count="48" uniqueCount="41">
  <si>
    <t>Load Factor</t>
  </si>
  <si>
    <t>kW</t>
  </si>
  <si>
    <t>kWh</t>
  </si>
  <si>
    <t>On Peak kWh</t>
  </si>
  <si>
    <t>Off Peak kWh</t>
  </si>
  <si>
    <t>Average $/kWh</t>
  </si>
  <si>
    <t>Cg-7 Blended Demand</t>
  </si>
  <si>
    <t>Cg-9 Blended Demand</t>
  </si>
  <si>
    <t>Cg-7 Facility Charge</t>
  </si>
  <si>
    <t>Cg-9 Facility Charge</t>
  </si>
  <si>
    <t>Cg-7 Blended On-peak kWh</t>
  </si>
  <si>
    <t>Cg-9 Blended On-peak kWh</t>
  </si>
  <si>
    <t>Cg-7 Off-peak kWh</t>
  </si>
  <si>
    <t>Cg-9 Off-peak kWh</t>
  </si>
  <si>
    <t>Cg-7 Dist. Demand</t>
  </si>
  <si>
    <t>Cg-9 Dist. Demand</t>
  </si>
  <si>
    <t>Demand 150+15+15+15</t>
  </si>
  <si>
    <t>Demand 150+19.2+19.2+19.2</t>
  </si>
  <si>
    <t>Demand 150+150+15+15</t>
  </si>
  <si>
    <t>Demand 150+150+19.2+19.2</t>
  </si>
  <si>
    <t>Total</t>
  </si>
  <si>
    <t>Mandatory</t>
  </si>
  <si>
    <t>Optional</t>
  </si>
  <si>
    <t>Bill Cg-7 100 hour</t>
  </si>
  <si>
    <t>Bill Cg-7 150 hour</t>
  </si>
  <si>
    <t>Bill Cg-9 100 hour</t>
  </si>
  <si>
    <t>Bill Cg-9 150 hour</t>
  </si>
  <si>
    <t>100 hour Limited kW</t>
  </si>
  <si>
    <t>150 hour Limited kW</t>
  </si>
  <si>
    <t>EV Charging Electric Bill Anlaysis Using Xcel Rates</t>
  </si>
  <si>
    <t>Charging Station Maximum kW</t>
  </si>
  <si>
    <t>Input Values in Blue</t>
  </si>
  <si>
    <t>Charging Hours Level-3</t>
  </si>
  <si>
    <t>Results</t>
  </si>
  <si>
    <t>Charging Hours Level-2</t>
  </si>
  <si>
    <t xml:space="preserve">Level-3 </t>
  </si>
  <si>
    <t xml:space="preserve">Level-2 </t>
  </si>
  <si>
    <t>Number</t>
  </si>
  <si>
    <t>Assumptions</t>
  </si>
  <si>
    <t>Time/month (hours)</t>
  </si>
  <si>
    <t>Example Station Configurations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</si>
</sst>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66" fontId="0" fillId="0" borderId="0" xfId="2" applyNumberFormat="1" applyFont="1" applyProtection="1">
      <protection locked="0"/>
    </xf>
    <xf numFmtId="1" fontId="0" fillId="0" borderId="0" xfId="0" applyNumberFormat="1" applyProtection="1">
      <protection locked="0"/>
    </xf>
    <xf numFmtId="9" fontId="0" fillId="2" borderId="0" xfId="0" applyNumberFormat="1" applyFill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4" fontId="0" fillId="0" borderId="0" xfId="1" applyFont="1" applyFill="1" applyProtection="1">
      <protection locked="0"/>
    </xf>
    <xf numFmtId="165" fontId="0" fillId="0" borderId="0" xfId="1" applyNumberFormat="1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/>
    <xf numFmtId="1" fontId="0" fillId="0" borderId="0" xfId="0" applyNumberFormat="1" applyProtection="1"/>
    <xf numFmtId="10" fontId="0" fillId="0" borderId="0" xfId="2" applyNumberFormat="1" applyFont="1" applyProtection="1"/>
    <xf numFmtId="164" fontId="0" fillId="0" borderId="0" xfId="1" applyNumberFormat="1" applyFont="1" applyProtection="1"/>
    <xf numFmtId="44" fontId="0" fillId="3" borderId="0" xfId="1" applyFont="1" applyFill="1" applyProtection="1"/>
    <xf numFmtId="44" fontId="0" fillId="0" borderId="0" xfId="0" applyNumberFormat="1" applyProtection="1"/>
    <xf numFmtId="164" fontId="0" fillId="0" borderId="0" xfId="0" applyNumberFormat="1" applyProtection="1"/>
    <xf numFmtId="44" fontId="0" fillId="3" borderId="0" xfId="0" applyNumberFormat="1" applyFill="1" applyProtection="1"/>
    <xf numFmtId="165" fontId="0" fillId="0" borderId="0" xfId="1" applyNumberFormat="1" applyFont="1" applyProtection="1"/>
    <xf numFmtId="44" fontId="0" fillId="0" borderId="0" xfId="1" applyFo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A5AB-DAA5-4F81-B5BE-DA42A0A88CE8}">
  <dimension ref="A1:Q37"/>
  <sheetViews>
    <sheetView tabSelected="1" workbookViewId="0">
      <selection activeCell="D1" sqref="D1"/>
    </sheetView>
  </sheetViews>
  <sheetFormatPr defaultRowHeight="15" x14ac:dyDescent="0.25"/>
  <cols>
    <col min="1" max="1" width="28.7109375" style="2" customWidth="1"/>
    <col min="2" max="2" width="12.42578125" style="2" customWidth="1"/>
    <col min="3" max="3" width="9.140625" style="2"/>
    <col min="4" max="4" width="12.7109375" style="2" customWidth="1"/>
    <col min="5" max="5" width="13.7109375" style="2" customWidth="1"/>
    <col min="6" max="7" width="9.140625" style="2"/>
    <col min="8" max="8" width="3.42578125" style="2" customWidth="1"/>
    <col min="9" max="9" width="10.5703125" style="2" bestFit="1" customWidth="1"/>
    <col min="10" max="12" width="9.140625" style="2"/>
    <col min="13" max="13" width="3.85546875" style="2" customWidth="1"/>
    <col min="14" max="16384" width="9.140625" style="2"/>
  </cols>
  <sheetData>
    <row r="1" spans="1:17" ht="15.75" x14ac:dyDescent="0.25">
      <c r="A1" s="1" t="s">
        <v>29</v>
      </c>
    </row>
    <row r="3" spans="1:17" x14ac:dyDescent="0.25">
      <c r="A3" s="2" t="s">
        <v>31</v>
      </c>
    </row>
    <row r="4" spans="1:17" x14ac:dyDescent="0.25">
      <c r="B4" s="2" t="s">
        <v>1</v>
      </c>
      <c r="C4" s="2" t="s">
        <v>37</v>
      </c>
    </row>
    <row r="5" spans="1:17" x14ac:dyDescent="0.25">
      <c r="A5" s="2" t="s">
        <v>35</v>
      </c>
      <c r="B5" s="3">
        <v>150</v>
      </c>
      <c r="C5" s="3">
        <v>1</v>
      </c>
    </row>
    <row r="6" spans="1:17" x14ac:dyDescent="0.25">
      <c r="A6" s="2" t="s">
        <v>36</v>
      </c>
      <c r="B6" s="3">
        <v>15</v>
      </c>
      <c r="C6" s="3">
        <v>3</v>
      </c>
    </row>
    <row r="8" spans="1:17" ht="30" x14ac:dyDescent="0.25">
      <c r="B8" s="4" t="s">
        <v>39</v>
      </c>
      <c r="C8" s="2" t="s">
        <v>2</v>
      </c>
    </row>
    <row r="9" spans="1:17" x14ac:dyDescent="0.25">
      <c r="A9" s="2" t="s">
        <v>32</v>
      </c>
      <c r="B9" s="3">
        <v>20</v>
      </c>
      <c r="C9" s="17">
        <f>B9*B5</f>
        <v>3000</v>
      </c>
    </row>
    <row r="10" spans="1:17" x14ac:dyDescent="0.25">
      <c r="A10" s="2" t="s">
        <v>34</v>
      </c>
      <c r="B10" s="3">
        <v>40</v>
      </c>
      <c r="C10" s="17">
        <f>B10*B6</f>
        <v>600</v>
      </c>
    </row>
    <row r="11" spans="1:17" x14ac:dyDescent="0.25">
      <c r="A11" s="2" t="s">
        <v>20</v>
      </c>
      <c r="C11" s="17">
        <f>SUM(C9:C10)</f>
        <v>3600</v>
      </c>
    </row>
    <row r="12" spans="1:17" x14ac:dyDescent="0.25">
      <c r="E12" s="5"/>
    </row>
    <row r="13" spans="1:17" x14ac:dyDescent="0.25">
      <c r="A13" s="2" t="s">
        <v>30</v>
      </c>
      <c r="B13" s="18">
        <f>(B5*C5)+(B6*C6)</f>
        <v>195</v>
      </c>
    </row>
    <row r="15" spans="1:17" x14ac:dyDescent="0.25">
      <c r="A15" s="2" t="s">
        <v>33</v>
      </c>
      <c r="D15" s="7">
        <v>0.8</v>
      </c>
      <c r="E15" s="7">
        <v>0.2</v>
      </c>
      <c r="F15" s="8"/>
      <c r="G15" s="8"/>
      <c r="K15" s="9" t="s">
        <v>5</v>
      </c>
      <c r="L15" s="9"/>
      <c r="M15" s="10"/>
      <c r="P15" s="9" t="s">
        <v>5</v>
      </c>
      <c r="Q15" s="9"/>
    </row>
    <row r="16" spans="1:17" ht="45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4" t="s">
        <v>27</v>
      </c>
      <c r="G16" s="4" t="s">
        <v>28</v>
      </c>
      <c r="H16" s="4"/>
      <c r="I16" s="4" t="s">
        <v>23</v>
      </c>
      <c r="J16" s="4" t="s">
        <v>24</v>
      </c>
      <c r="K16" s="4" t="s">
        <v>23</v>
      </c>
      <c r="L16" s="4" t="s">
        <v>24</v>
      </c>
      <c r="M16" s="4"/>
      <c r="N16" s="4" t="s">
        <v>25</v>
      </c>
      <c r="O16" s="4" t="s">
        <v>26</v>
      </c>
      <c r="P16" s="4" t="s">
        <v>25</v>
      </c>
      <c r="Q16" s="4" t="s">
        <v>26</v>
      </c>
    </row>
    <row r="17" spans="1:17" x14ac:dyDescent="0.25">
      <c r="A17" s="19">
        <f>C17/((B17*24*365)/12)</f>
        <v>2.5289778714436249E-2</v>
      </c>
      <c r="B17" s="18">
        <f>B13</f>
        <v>195</v>
      </c>
      <c r="C17" s="18">
        <f>C11</f>
        <v>3600</v>
      </c>
      <c r="D17" s="18">
        <f>C17*D15</f>
        <v>2880</v>
      </c>
      <c r="E17" s="18">
        <f>C17*E15</f>
        <v>720</v>
      </c>
      <c r="F17" s="18">
        <f t="shared" ref="F17" si="0">C17/100</f>
        <v>36</v>
      </c>
      <c r="G17" s="18">
        <f t="shared" ref="G17" si="1">C17/150</f>
        <v>24</v>
      </c>
      <c r="H17" s="6"/>
      <c r="I17" s="20">
        <f>$B$20+(D17*$B$21)+(E17*$B$23)+(F17*$B$22)+(F17*$B$24)</f>
        <v>769.05600000000004</v>
      </c>
      <c r="J17" s="20">
        <f>$B$20+(D17*$B$21)+(E17*$B$23)+(G17*$B$22)+(G17*$B$24)</f>
        <v>622.89599999999996</v>
      </c>
      <c r="K17" s="21">
        <f t="shared" ref="K17" si="2">I17/C17</f>
        <v>0.21362666666666669</v>
      </c>
      <c r="L17" s="22">
        <f t="shared" ref="L17" si="3">J17/C17</f>
        <v>0.17302666666666666</v>
      </c>
      <c r="M17" s="12"/>
      <c r="N17" s="23">
        <f>IF(B17&gt;200,($B$27+(D17*$B$28)+(E17*$B$30)+(F17*$B$29)+(F17*$B$31)),($C$27+(D17*$B$28)+(E17*$B$30)+(F17*$B$29)+(F17*$B$31)))</f>
        <v>889.08320000000003</v>
      </c>
      <c r="O17" s="23">
        <f>IF(B17&gt;200,($B$27+(D17*$B$28)+(E17*$B$30)+(G17*$B$29)+(G17*$B$31)),($C$27+(D17*$B$28)+(E17*$B$30)+(G17*$B$29)+(G17*$B$31)))</f>
        <v>706.92319999999995</v>
      </c>
      <c r="P17" s="24">
        <f>N17/C17</f>
        <v>0.24696755555555555</v>
      </c>
      <c r="Q17" s="22">
        <f>O17/C17</f>
        <v>0.19636755555555555</v>
      </c>
    </row>
    <row r="18" spans="1:17" x14ac:dyDescent="0.25">
      <c r="A18" s="5"/>
      <c r="B18" s="6"/>
      <c r="C18" s="6"/>
      <c r="D18" s="6"/>
      <c r="E18" s="6"/>
      <c r="F18" s="6"/>
      <c r="G18" s="6"/>
      <c r="H18" s="6"/>
      <c r="I18" s="11"/>
      <c r="J18" s="11"/>
      <c r="K18" s="14"/>
      <c r="L18" s="12"/>
      <c r="M18" s="12"/>
      <c r="N18" s="13"/>
      <c r="O18" s="13"/>
      <c r="P18" s="12"/>
      <c r="Q18" s="12"/>
    </row>
    <row r="19" spans="1:17" x14ac:dyDescent="0.25">
      <c r="A19" s="2" t="s">
        <v>38</v>
      </c>
    </row>
    <row r="20" spans="1:17" x14ac:dyDescent="0.25">
      <c r="A20" s="2" t="s">
        <v>8</v>
      </c>
      <c r="B20" s="11">
        <v>42</v>
      </c>
    </row>
    <row r="21" spans="1:17" x14ac:dyDescent="0.25">
      <c r="A21" s="2" t="s">
        <v>10</v>
      </c>
      <c r="B21" s="25">
        <f>(0.0845*0.66)+(0.0895*0.34)</f>
        <v>8.6200000000000013E-2</v>
      </c>
    </row>
    <row r="22" spans="1:17" x14ac:dyDescent="0.25">
      <c r="A22" s="2" t="s">
        <v>6</v>
      </c>
      <c r="B22" s="26">
        <f>(11*0.34)+(9*0.66)</f>
        <v>9.68</v>
      </c>
    </row>
    <row r="23" spans="1:17" x14ac:dyDescent="0.25">
      <c r="A23" s="2" t="s">
        <v>12</v>
      </c>
      <c r="B23" s="15">
        <v>5.6000000000000001E-2</v>
      </c>
    </row>
    <row r="24" spans="1:17" x14ac:dyDescent="0.25">
      <c r="A24" s="2" t="s">
        <v>14</v>
      </c>
      <c r="B24" s="16">
        <v>2.5</v>
      </c>
    </row>
    <row r="25" spans="1:17" x14ac:dyDescent="0.25">
      <c r="B25" s="16"/>
    </row>
    <row r="26" spans="1:17" x14ac:dyDescent="0.25">
      <c r="B26" s="16" t="s">
        <v>21</v>
      </c>
      <c r="C26" s="2" t="s">
        <v>22</v>
      </c>
    </row>
    <row r="27" spans="1:17" x14ac:dyDescent="0.25">
      <c r="A27" s="2" t="s">
        <v>9</v>
      </c>
      <c r="B27" s="11">
        <v>180</v>
      </c>
      <c r="C27" s="11">
        <v>65</v>
      </c>
    </row>
    <row r="28" spans="1:17" x14ac:dyDescent="0.25">
      <c r="A28" s="2" t="s">
        <v>11</v>
      </c>
      <c r="B28" s="25">
        <f>(0.0885*0.34)+(0.08*0.66)</f>
        <v>8.2890000000000005E-2</v>
      </c>
    </row>
    <row r="29" spans="1:17" x14ac:dyDescent="0.25">
      <c r="A29" s="2" t="s">
        <v>7</v>
      </c>
      <c r="B29" s="26">
        <f>(13*0.34)+(11*0.66)</f>
        <v>11.68</v>
      </c>
    </row>
    <row r="30" spans="1:17" x14ac:dyDescent="0.25">
      <c r="A30" s="2" t="s">
        <v>13</v>
      </c>
      <c r="B30" s="15">
        <v>5.3999999999999999E-2</v>
      </c>
    </row>
    <row r="31" spans="1:17" x14ac:dyDescent="0.25">
      <c r="A31" s="2" t="s">
        <v>15</v>
      </c>
      <c r="B31" s="16">
        <v>3.5</v>
      </c>
    </row>
    <row r="33" spans="1:2" x14ac:dyDescent="0.25">
      <c r="A33" s="2" t="s">
        <v>40</v>
      </c>
    </row>
    <row r="34" spans="1:2" x14ac:dyDescent="0.25">
      <c r="A34" s="2" t="s">
        <v>16</v>
      </c>
      <c r="B34" s="17">
        <f>150+15+15+15</f>
        <v>195</v>
      </c>
    </row>
    <row r="35" spans="1:2" x14ac:dyDescent="0.25">
      <c r="A35" s="2" t="s">
        <v>17</v>
      </c>
      <c r="B35" s="18">
        <f>150+19.2+19.2+19.2</f>
        <v>207.59999999999997</v>
      </c>
    </row>
    <row r="36" spans="1:2" x14ac:dyDescent="0.25">
      <c r="A36" s="2" t="s">
        <v>18</v>
      </c>
      <c r="B36" s="17">
        <f>150+150+15+15</f>
        <v>330</v>
      </c>
    </row>
    <row r="37" spans="1:2" x14ac:dyDescent="0.25">
      <c r="A37" s="2" t="s">
        <v>19</v>
      </c>
      <c r="B37" s="18">
        <f>150+150+19.2+19.2</f>
        <v>338.4</v>
      </c>
    </row>
  </sheetData>
  <sheetProtection algorithmName="SHA-512" hashValue="8ShqGCj07PyvoflneY52zAwokZCa3FMXYSgEc8Vtxv1vO+JC7spbTJfHLXx18Xn6Wz0ZSMJmbnABp7ZZiGrYoQ==" saltValue="vOzW5nrxpMTFjEe2vMstwA==" spinCount="100000" sheet="1" objects="1" scenarios="1"/>
  <mergeCells count="2">
    <mergeCell ref="K15:L15"/>
    <mergeCell ref="P15:Q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 Cost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Bailey</dc:creator>
  <cp:lastModifiedBy>William Bailey</cp:lastModifiedBy>
  <dcterms:created xsi:type="dcterms:W3CDTF">2023-01-02T19:50:18Z</dcterms:created>
  <dcterms:modified xsi:type="dcterms:W3CDTF">2023-05-01T16:03:53Z</dcterms:modified>
</cp:coreProperties>
</file>